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Benefits\Shared\finance\Financial Reports\Annual Reports\Benefits % of Salary Reports\"/>
    </mc:Choice>
  </mc:AlternateContent>
  <bookViews>
    <workbookView xWindow="240" yWindow="120" windowWidth="14040" windowHeight="8870"/>
  </bookViews>
  <sheets>
    <sheet name="Salaries Bet 10K - 200K" sheetId="11" r:id="rId1"/>
    <sheet name="Salaries &gt; $200K" sheetId="14" r:id="rId2"/>
    <sheet name="Calcul" sheetId="12" state="hidden" r:id="rId3"/>
    <sheet name="Medical &amp; Dental" sheetId="13" state="hidden" r:id="rId4"/>
  </sheets>
  <definedNames>
    <definedName name="EV__LASTREFTIME__" hidden="1">39301.6065162037</definedName>
  </definedNames>
  <calcPr calcId="162913"/>
</workbook>
</file>

<file path=xl/calcChain.xml><?xml version="1.0" encoding="utf-8"?>
<calcChain xmlns="http://schemas.openxmlformats.org/spreadsheetml/2006/main">
  <c r="F106" i="12" l="1"/>
  <c r="L26" i="11"/>
  <c r="B15" i="12"/>
  <c r="B14" i="12"/>
  <c r="D12" i="13"/>
  <c r="C12" i="13"/>
  <c r="C194" i="12" l="1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193" i="12"/>
  <c r="F27" i="13"/>
  <c r="F25" i="13"/>
  <c r="D10" i="13" l="1"/>
  <c r="E10" i="13"/>
  <c r="C10" i="13" l="1"/>
  <c r="B8" i="13"/>
  <c r="F10" i="13"/>
  <c r="F12" i="13" s="1"/>
  <c r="E12" i="13"/>
  <c r="E14" i="13"/>
  <c r="E16" i="13" s="1"/>
  <c r="W9" i="14"/>
  <c r="C139" i="12"/>
  <c r="W10" i="14" s="1"/>
  <c r="D94" i="12"/>
  <c r="F104" i="12" s="1"/>
  <c r="Z11" i="11" s="1"/>
  <c r="Z19" i="11" s="1"/>
  <c r="F47" i="13"/>
  <c r="F48" i="13"/>
  <c r="F49" i="13"/>
  <c r="F40" i="13"/>
  <c r="F43" i="13" s="1"/>
  <c r="F41" i="13"/>
  <c r="F42" i="13"/>
  <c r="D50" i="13"/>
  <c r="D145" i="12"/>
  <c r="W14" i="14"/>
  <c r="W17" i="14"/>
  <c r="W16" i="14"/>
  <c r="V9" i="14"/>
  <c r="C138" i="12"/>
  <c r="V10" i="14" s="1"/>
  <c r="V14" i="14"/>
  <c r="V17" i="14"/>
  <c r="V16" i="14"/>
  <c r="U9" i="14"/>
  <c r="C137" i="12"/>
  <c r="U10" i="14" s="1"/>
  <c r="U14" i="14"/>
  <c r="U17" i="14"/>
  <c r="U16" i="14"/>
  <c r="T9" i="14"/>
  <c r="C136" i="12"/>
  <c r="T10" i="14" s="1"/>
  <c r="T14" i="14"/>
  <c r="T17" i="14"/>
  <c r="T16" i="14"/>
  <c r="S9" i="14"/>
  <c r="C135" i="12"/>
  <c r="S10" i="14" s="1"/>
  <c r="S14" i="14"/>
  <c r="S17" i="14"/>
  <c r="S16" i="14"/>
  <c r="R9" i="14"/>
  <c r="C134" i="12"/>
  <c r="R10" i="14" s="1"/>
  <c r="R14" i="14"/>
  <c r="R17" i="14"/>
  <c r="R16" i="14"/>
  <c r="Q9" i="14"/>
  <c r="C133" i="12"/>
  <c r="Q10" i="14" s="1"/>
  <c r="Q14" i="14"/>
  <c r="Q17" i="14"/>
  <c r="Q16" i="14"/>
  <c r="P9" i="14"/>
  <c r="C132" i="12"/>
  <c r="P10" i="14" s="1"/>
  <c r="P14" i="14"/>
  <c r="P17" i="14"/>
  <c r="P16" i="14"/>
  <c r="O9" i="14"/>
  <c r="C131" i="12"/>
  <c r="O10" i="14" s="1"/>
  <c r="O14" i="14"/>
  <c r="O17" i="14"/>
  <c r="O16" i="14"/>
  <c r="N9" i="14"/>
  <c r="N10" i="14"/>
  <c r="N14" i="14"/>
  <c r="N17" i="14"/>
  <c r="N16" i="14"/>
  <c r="M9" i="14"/>
  <c r="M10" i="14"/>
  <c r="M14" i="14"/>
  <c r="M17" i="14"/>
  <c r="M16" i="14"/>
  <c r="L9" i="14"/>
  <c r="L10" i="14"/>
  <c r="L14" i="14"/>
  <c r="L17" i="14"/>
  <c r="L16" i="14"/>
  <c r="AE9" i="11"/>
  <c r="AE14" i="11"/>
  <c r="AE17" i="11"/>
  <c r="AE16" i="11"/>
  <c r="N9" i="11"/>
  <c r="N14" i="11"/>
  <c r="N17" i="11"/>
  <c r="N16" i="11"/>
  <c r="O9" i="11"/>
  <c r="O14" i="11"/>
  <c r="O17" i="11"/>
  <c r="O16" i="11"/>
  <c r="P9" i="11"/>
  <c r="P14" i="11"/>
  <c r="P17" i="11"/>
  <c r="P16" i="11"/>
  <c r="Q9" i="11"/>
  <c r="Q14" i="11"/>
  <c r="Q17" i="11"/>
  <c r="Q16" i="11"/>
  <c r="R9" i="11"/>
  <c r="R14" i="11"/>
  <c r="R17" i="11"/>
  <c r="R16" i="11"/>
  <c r="S9" i="11"/>
  <c r="S14" i="11"/>
  <c r="S17" i="11"/>
  <c r="S16" i="11"/>
  <c r="T9" i="11"/>
  <c r="T11" i="11"/>
  <c r="T14" i="11"/>
  <c r="T17" i="11"/>
  <c r="T16" i="11"/>
  <c r="U9" i="11"/>
  <c r="U11" i="11"/>
  <c r="U14" i="11"/>
  <c r="U17" i="11"/>
  <c r="U16" i="11"/>
  <c r="V9" i="11"/>
  <c r="V11" i="11"/>
  <c r="V14" i="11"/>
  <c r="V17" i="11"/>
  <c r="V16" i="11"/>
  <c r="W9" i="11"/>
  <c r="W11" i="11"/>
  <c r="W14" i="11"/>
  <c r="W17" i="11"/>
  <c r="W16" i="11"/>
  <c r="X9" i="11"/>
  <c r="X11" i="11"/>
  <c r="X14" i="11"/>
  <c r="X17" i="11"/>
  <c r="X16" i="11"/>
  <c r="Y9" i="11"/>
  <c r="Y11" i="11"/>
  <c r="Y14" i="11"/>
  <c r="Y17" i="11"/>
  <c r="Y16" i="11"/>
  <c r="Z9" i="11"/>
  <c r="Z14" i="11"/>
  <c r="Z17" i="11"/>
  <c r="Z16" i="11"/>
  <c r="AA9" i="11"/>
  <c r="AA14" i="11"/>
  <c r="AA17" i="11"/>
  <c r="AA16" i="11"/>
  <c r="AB9" i="11"/>
  <c r="AB14" i="11"/>
  <c r="AB17" i="11"/>
  <c r="AB16" i="11"/>
  <c r="AC9" i="11"/>
  <c r="AC14" i="11"/>
  <c r="AC17" i="11"/>
  <c r="AC16" i="11"/>
  <c r="AD9" i="11"/>
  <c r="AD14" i="11"/>
  <c r="AD17" i="11"/>
  <c r="AD16" i="11"/>
  <c r="M9" i="11"/>
  <c r="M14" i="11"/>
  <c r="M17" i="11"/>
  <c r="M16" i="11"/>
  <c r="L9" i="11"/>
  <c r="L14" i="11"/>
  <c r="L17" i="11"/>
  <c r="L16" i="11"/>
  <c r="D207" i="12"/>
  <c r="E207" i="12" s="1"/>
  <c r="L13" i="14" s="1"/>
  <c r="C192" i="12"/>
  <c r="D188" i="12"/>
  <c r="E188" i="12"/>
  <c r="D190" i="12"/>
  <c r="E190" i="12"/>
  <c r="D192" i="12"/>
  <c r="E192" i="12"/>
  <c r="D193" i="12"/>
  <c r="E193" i="12" s="1"/>
  <c r="R13" i="11" s="1"/>
  <c r="D194" i="12"/>
  <c r="E194" i="12"/>
  <c r="D195" i="12"/>
  <c r="E195" i="12"/>
  <c r="D196" i="12"/>
  <c r="E196" i="12"/>
  <c r="U13" i="11" s="1"/>
  <c r="D197" i="12"/>
  <c r="E197" i="12"/>
  <c r="D198" i="12"/>
  <c r="E198" i="12"/>
  <c r="D199" i="12"/>
  <c r="E199" i="12"/>
  <c r="D200" i="12"/>
  <c r="E200" i="12"/>
  <c r="Y13" i="11" s="1"/>
  <c r="D201" i="12"/>
  <c r="E201" i="12"/>
  <c r="D202" i="12"/>
  <c r="E202" i="12"/>
  <c r="D203" i="12"/>
  <c r="E203" i="12"/>
  <c r="D204" i="12"/>
  <c r="E204" i="12"/>
  <c r="AC13" i="11" s="1"/>
  <c r="D205" i="12"/>
  <c r="E205" i="12"/>
  <c r="D206" i="12"/>
  <c r="E206" i="12"/>
  <c r="D208" i="12"/>
  <c r="E208" i="12"/>
  <c r="D209" i="12"/>
  <c r="E209" i="12"/>
  <c r="N13" i="14" s="1"/>
  <c r="D210" i="12"/>
  <c r="E210" i="12"/>
  <c r="D211" i="12"/>
  <c r="E211" i="12"/>
  <c r="P13" i="14" s="1"/>
  <c r="D212" i="12"/>
  <c r="E212" i="12"/>
  <c r="D213" i="12"/>
  <c r="E213" i="12"/>
  <c r="R13" i="14" s="1"/>
  <c r="D214" i="12"/>
  <c r="E214" i="12"/>
  <c r="D215" i="12"/>
  <c r="E215" i="12"/>
  <c r="T13" i="14" s="1"/>
  <c r="D216" i="12"/>
  <c r="E216" i="12"/>
  <c r="D217" i="12"/>
  <c r="E217" i="12"/>
  <c r="V13" i="14" s="1"/>
  <c r="D218" i="12"/>
  <c r="E218" i="12"/>
  <c r="D187" i="12"/>
  <c r="E187" i="12"/>
  <c r="C189" i="12"/>
  <c r="D189" i="12"/>
  <c r="E189" i="12"/>
  <c r="C190" i="12"/>
  <c r="C191" i="12"/>
  <c r="D191" i="12"/>
  <c r="E191" i="12"/>
  <c r="C188" i="12"/>
  <c r="C187" i="12"/>
  <c r="B129" i="12"/>
  <c r="A51" i="12"/>
  <c r="K3" i="12"/>
  <c r="K8" i="12" s="1"/>
  <c r="C224" i="12"/>
  <c r="C227" i="12"/>
  <c r="H193" i="12"/>
  <c r="J193" i="12"/>
  <c r="R15" i="11"/>
  <c r="H186" i="12"/>
  <c r="H198" i="12"/>
  <c r="J198" i="12"/>
  <c r="W15" i="11"/>
  <c r="H188" i="12"/>
  <c r="H189" i="12"/>
  <c r="J189" i="12"/>
  <c r="N15" i="11"/>
  <c r="H190" i="12"/>
  <c r="J190" i="12"/>
  <c r="O15" i="11"/>
  <c r="H191" i="12"/>
  <c r="J191" i="12"/>
  <c r="P15" i="11"/>
  <c r="H192" i="12"/>
  <c r="J192" i="12"/>
  <c r="Q15" i="11"/>
  <c r="H187" i="12"/>
  <c r="J187" i="12"/>
  <c r="L15" i="11"/>
  <c r="K5" i="12"/>
  <c r="B128" i="12"/>
  <c r="N187" i="12"/>
  <c r="O187" i="12"/>
  <c r="P187" i="12"/>
  <c r="C51" i="12"/>
  <c r="C52" i="12"/>
  <c r="S19" i="11"/>
  <c r="R19" i="11"/>
  <c r="Q19" i="11"/>
  <c r="P19" i="11"/>
  <c r="O19" i="11"/>
  <c r="N19" i="11"/>
  <c r="M19" i="11"/>
  <c r="L19" i="11"/>
  <c r="Q13" i="11"/>
  <c r="W13" i="14"/>
  <c r="U13" i="14"/>
  <c r="S13" i="14"/>
  <c r="Q13" i="14"/>
  <c r="O13" i="14"/>
  <c r="C130" i="12"/>
  <c r="M13" i="14"/>
  <c r="C129" i="12"/>
  <c r="C128" i="12"/>
  <c r="AE13" i="11"/>
  <c r="AD13" i="11"/>
  <c r="AB13" i="11"/>
  <c r="AA13" i="11"/>
  <c r="Z13" i="11"/>
  <c r="X13" i="11"/>
  <c r="W13" i="11"/>
  <c r="V13" i="11"/>
  <c r="T13" i="11"/>
  <c r="S13" i="11"/>
  <c r="P13" i="11"/>
  <c r="O13" i="11"/>
  <c r="N13" i="11"/>
  <c r="M13" i="11"/>
  <c r="L13" i="11"/>
  <c r="N218" i="12"/>
  <c r="O218" i="12"/>
  <c r="P218" i="12"/>
  <c r="N217" i="12"/>
  <c r="O217" i="12"/>
  <c r="P217" i="12"/>
  <c r="N216" i="12"/>
  <c r="O216" i="12"/>
  <c r="P216" i="12"/>
  <c r="N215" i="12"/>
  <c r="O215" i="12"/>
  <c r="P215" i="12"/>
  <c r="N214" i="12"/>
  <c r="O214" i="12"/>
  <c r="P214" i="12"/>
  <c r="N213" i="12"/>
  <c r="O213" i="12"/>
  <c r="P213" i="12"/>
  <c r="N212" i="12"/>
  <c r="O212" i="12"/>
  <c r="P212" i="12"/>
  <c r="N211" i="12"/>
  <c r="O211" i="12"/>
  <c r="P211" i="12"/>
  <c r="N210" i="12"/>
  <c r="O210" i="12"/>
  <c r="P210" i="12"/>
  <c r="N209" i="12"/>
  <c r="O209" i="12"/>
  <c r="P209" i="12"/>
  <c r="N208" i="12"/>
  <c r="O208" i="12"/>
  <c r="P208" i="12"/>
  <c r="N207" i="12"/>
  <c r="O207" i="12"/>
  <c r="P207" i="12"/>
  <c r="N206" i="12"/>
  <c r="O206" i="12"/>
  <c r="P206" i="12"/>
  <c r="N205" i="12"/>
  <c r="O205" i="12"/>
  <c r="P205" i="12"/>
  <c r="N204" i="12"/>
  <c r="O204" i="12"/>
  <c r="P204" i="12"/>
  <c r="N203" i="12"/>
  <c r="O203" i="12"/>
  <c r="P203" i="12"/>
  <c r="N202" i="12"/>
  <c r="O202" i="12"/>
  <c r="P202" i="12"/>
  <c r="N201" i="12"/>
  <c r="O201" i="12"/>
  <c r="P201" i="12"/>
  <c r="N200" i="12"/>
  <c r="O200" i="12"/>
  <c r="P200" i="12"/>
  <c r="N199" i="12"/>
  <c r="O199" i="12"/>
  <c r="P199" i="12"/>
  <c r="N198" i="12"/>
  <c r="O198" i="12"/>
  <c r="P198" i="12"/>
  <c r="N197" i="12"/>
  <c r="O197" i="12"/>
  <c r="P197" i="12"/>
  <c r="N196" i="12"/>
  <c r="O196" i="12"/>
  <c r="P196" i="12"/>
  <c r="N195" i="12"/>
  <c r="O195" i="12"/>
  <c r="P195" i="12"/>
  <c r="N194" i="12"/>
  <c r="O194" i="12"/>
  <c r="P194" i="12"/>
  <c r="N193" i="12"/>
  <c r="O193" i="12"/>
  <c r="P193" i="12"/>
  <c r="N192" i="12"/>
  <c r="O192" i="12"/>
  <c r="P192" i="12"/>
  <c r="N191" i="12"/>
  <c r="O191" i="12"/>
  <c r="P191" i="12"/>
  <c r="N190" i="12"/>
  <c r="O190" i="12"/>
  <c r="P190" i="12"/>
  <c r="N189" i="12"/>
  <c r="O189" i="12"/>
  <c r="P189" i="12"/>
  <c r="N188" i="12"/>
  <c r="O188" i="12"/>
  <c r="P188" i="12"/>
  <c r="D43" i="13"/>
  <c r="G27" i="13"/>
  <c r="J188" i="12"/>
  <c r="M15" i="11"/>
  <c r="H216" i="12"/>
  <c r="J216" i="12"/>
  <c r="U15" i="14"/>
  <c r="H206" i="12"/>
  <c r="J206" i="12"/>
  <c r="AE15" i="11"/>
  <c r="H211" i="12"/>
  <c r="J211" i="12"/>
  <c r="P15" i="14"/>
  <c r="H205" i="12"/>
  <c r="J205" i="12"/>
  <c r="AD15" i="11"/>
  <c r="H194" i="12"/>
  <c r="J194" i="12"/>
  <c r="S15" i="11"/>
  <c r="T19" i="11"/>
  <c r="H213" i="12"/>
  <c r="J213" i="12"/>
  <c r="R15" i="14"/>
  <c r="H196" i="12"/>
  <c r="J196" i="12"/>
  <c r="U15" i="11"/>
  <c r="Y19" i="11"/>
  <c r="H215" i="12"/>
  <c r="J215" i="12"/>
  <c r="T15" i="14"/>
  <c r="H210" i="12"/>
  <c r="J210" i="12"/>
  <c r="O15" i="14"/>
  <c r="H201" i="12"/>
  <c r="J201" i="12"/>
  <c r="Z15" i="11"/>
  <c r="H217" i="12"/>
  <c r="J217" i="12"/>
  <c r="V15" i="14"/>
  <c r="H202" i="12"/>
  <c r="J202" i="12"/>
  <c r="AA15" i="11"/>
  <c r="H204" i="12"/>
  <c r="J204" i="12"/>
  <c r="AC15" i="11"/>
  <c r="H199" i="12"/>
  <c r="J199" i="12"/>
  <c r="X15" i="11"/>
  <c r="H212" i="12"/>
  <c r="J212" i="12"/>
  <c r="Q15" i="14"/>
  <c r="H200" i="12"/>
  <c r="J200" i="12"/>
  <c r="Y15" i="11"/>
  <c r="H195" i="12"/>
  <c r="J195" i="12"/>
  <c r="T15" i="11"/>
  <c r="H218" i="12"/>
  <c r="J218" i="12"/>
  <c r="W15" i="14"/>
  <c r="X19" i="11"/>
  <c r="H209" i="12"/>
  <c r="J209" i="12"/>
  <c r="N15" i="14"/>
  <c r="H214" i="12"/>
  <c r="J214" i="12"/>
  <c r="S15" i="14"/>
  <c r="H208" i="12"/>
  <c r="J208" i="12"/>
  <c r="M15" i="14"/>
  <c r="H203" i="12"/>
  <c r="J203" i="12"/>
  <c r="AB15" i="11"/>
  <c r="H197" i="12"/>
  <c r="J197" i="12"/>
  <c r="V15" i="11"/>
  <c r="H207" i="12"/>
  <c r="J207" i="12"/>
  <c r="L15" i="14"/>
  <c r="W19" i="11"/>
  <c r="V19" i="11"/>
  <c r="C53" i="12"/>
  <c r="U19" i="11"/>
  <c r="B231" i="12"/>
  <c r="C231" i="12"/>
  <c r="B233" i="12"/>
  <c r="C233" i="12"/>
  <c r="B235" i="12"/>
  <c r="C235" i="12"/>
  <c r="B237" i="12"/>
  <c r="C237" i="12"/>
  <c r="B239" i="12"/>
  <c r="C239" i="12"/>
  <c r="B241" i="12"/>
  <c r="C241" i="12"/>
  <c r="B243" i="12"/>
  <c r="C243" i="12"/>
  <c r="B245" i="12"/>
  <c r="C245" i="12"/>
  <c r="B247" i="12"/>
  <c r="C247" i="12"/>
  <c r="B249" i="12"/>
  <c r="C249" i="12"/>
  <c r="B251" i="12"/>
  <c r="C251" i="12"/>
  <c r="B253" i="12"/>
  <c r="C253" i="12"/>
  <c r="B255" i="12"/>
  <c r="C255" i="12"/>
  <c r="B257" i="12"/>
  <c r="C257" i="12"/>
  <c r="B259" i="12"/>
  <c r="C259" i="12"/>
  <c r="B229" i="12"/>
  <c r="C229" i="12"/>
  <c r="B230" i="12"/>
  <c r="C230" i="12"/>
  <c r="B232" i="12"/>
  <c r="C232" i="12"/>
  <c r="B234" i="12"/>
  <c r="C234" i="12"/>
  <c r="B236" i="12"/>
  <c r="C236" i="12"/>
  <c r="B238" i="12"/>
  <c r="C238" i="12"/>
  <c r="B240" i="12"/>
  <c r="C240" i="12"/>
  <c r="B242" i="12"/>
  <c r="C242" i="12"/>
  <c r="B244" i="12"/>
  <c r="C244" i="12"/>
  <c r="B246" i="12"/>
  <c r="C246" i="12"/>
  <c r="B248" i="12"/>
  <c r="C248" i="12"/>
  <c r="B250" i="12"/>
  <c r="C250" i="12"/>
  <c r="B252" i="12"/>
  <c r="C252" i="12"/>
  <c r="B254" i="12"/>
  <c r="C254" i="12"/>
  <c r="B256" i="12"/>
  <c r="C256" i="12"/>
  <c r="B258" i="12"/>
  <c r="C258" i="12"/>
  <c r="B260" i="12"/>
  <c r="C260" i="12"/>
  <c r="B64" i="12"/>
  <c r="C64" i="12"/>
  <c r="B85" i="12"/>
  <c r="C85" i="12"/>
  <c r="B63" i="12"/>
  <c r="C63" i="12"/>
  <c r="B60" i="12"/>
  <c r="C60" i="12"/>
  <c r="B73" i="12"/>
  <c r="C73" i="12"/>
  <c r="B61" i="12"/>
  <c r="C61" i="12"/>
  <c r="B66" i="12"/>
  <c r="C66" i="12"/>
  <c r="B72" i="12"/>
  <c r="C72" i="12"/>
  <c r="B83" i="12"/>
  <c r="C83" i="12"/>
  <c r="B70" i="12"/>
  <c r="C70" i="12"/>
  <c r="B62" i="12"/>
  <c r="C62" i="12"/>
  <c r="B82" i="12"/>
  <c r="C82" i="12"/>
  <c r="B79" i="12"/>
  <c r="C79" i="12"/>
  <c r="B87" i="12"/>
  <c r="C87" i="12"/>
  <c r="B77" i="12"/>
  <c r="C77" i="12"/>
  <c r="B65" i="12"/>
  <c r="C65" i="12"/>
  <c r="B80" i="12"/>
  <c r="C80" i="12"/>
  <c r="B84" i="12"/>
  <c r="C84" i="12"/>
  <c r="B67" i="12"/>
  <c r="C67" i="12"/>
  <c r="B68" i="12"/>
  <c r="C68" i="12"/>
  <c r="B75" i="12"/>
  <c r="C75" i="12"/>
  <c r="B59" i="12"/>
  <c r="C59" i="12"/>
  <c r="B78" i="12"/>
  <c r="C78" i="12"/>
  <c r="B74" i="12"/>
  <c r="C74" i="12"/>
  <c r="B57" i="12"/>
  <c r="C57" i="12"/>
  <c r="B86" i="12"/>
  <c r="C86" i="12"/>
  <c r="B71" i="12"/>
  <c r="C71" i="12"/>
  <c r="B69" i="12"/>
  <c r="C69" i="12"/>
  <c r="B81" i="12"/>
  <c r="C81" i="12"/>
  <c r="B56" i="12"/>
  <c r="C56" i="12"/>
  <c r="B76" i="12"/>
  <c r="C76" i="12"/>
  <c r="B58" i="12"/>
  <c r="C58" i="12"/>
  <c r="F108" i="12" l="1"/>
  <c r="AD11" i="11" s="1"/>
  <c r="AD19" i="11" s="1"/>
  <c r="F111" i="12"/>
  <c r="M11" i="14" s="1"/>
  <c r="M19" i="14" s="1"/>
  <c r="F110" i="12"/>
  <c r="L11" i="14" s="1"/>
  <c r="L19" i="14" s="1"/>
  <c r="F109" i="12"/>
  <c r="AE11" i="11" s="1"/>
  <c r="AE19" i="11" s="1"/>
  <c r="F112" i="12"/>
  <c r="N11" i="14" s="1"/>
  <c r="N19" i="14" s="1"/>
  <c r="AB11" i="11"/>
  <c r="AB19" i="11" s="1"/>
  <c r="F107" i="12"/>
  <c r="AC11" i="11" s="1"/>
  <c r="AC19" i="11" s="1"/>
  <c r="F105" i="12"/>
  <c r="AA11" i="11" s="1"/>
  <c r="AA19" i="11" s="1"/>
  <c r="F113" i="12"/>
  <c r="O11" i="14" s="1"/>
  <c r="O19" i="14" s="1"/>
  <c r="F114" i="12"/>
  <c r="P11" i="14" s="1"/>
  <c r="P19" i="14" s="1"/>
  <c r="F115" i="12"/>
  <c r="Q11" i="14" s="1"/>
  <c r="Q19" i="14" s="1"/>
  <c r="F116" i="12"/>
  <c r="R11" i="14" s="1"/>
  <c r="R19" i="14" s="1"/>
  <c r="F117" i="12"/>
  <c r="S11" i="14" s="1"/>
  <c r="S19" i="14" s="1"/>
  <c r="F118" i="12"/>
  <c r="T11" i="14" s="1"/>
  <c r="T19" i="14" s="1"/>
  <c r="F119" i="12"/>
  <c r="U11" i="14" s="1"/>
  <c r="U19" i="14" s="1"/>
  <c r="F120" i="12"/>
  <c r="V11" i="14" s="1"/>
  <c r="V19" i="14" s="1"/>
  <c r="F121" i="12"/>
  <c r="W11" i="14" s="1"/>
  <c r="W19" i="14" s="1"/>
  <c r="F50" i="13"/>
  <c r="F54" i="13" s="1"/>
  <c r="F53" i="13"/>
  <c r="F55" i="13" s="1"/>
  <c r="D143" i="12" s="1"/>
  <c r="C148" i="12" s="1"/>
  <c r="I29" i="12"/>
  <c r="J29" i="12" s="1"/>
  <c r="AE8" i="11" s="1"/>
  <c r="I24" i="12"/>
  <c r="J24" i="12" s="1"/>
  <c r="Z8" i="11" s="1"/>
  <c r="I39" i="12"/>
  <c r="J39" i="12" s="1"/>
  <c r="U8" i="14" s="1"/>
  <c r="I22" i="12"/>
  <c r="J22" i="12" s="1"/>
  <c r="X8" i="11" s="1"/>
  <c r="I12" i="12"/>
  <c r="J12" i="12" s="1"/>
  <c r="N8" i="11" s="1"/>
  <c r="I34" i="12"/>
  <c r="J34" i="12" s="1"/>
  <c r="P8" i="14" s="1"/>
  <c r="I32" i="12"/>
  <c r="J32" i="12" s="1"/>
  <c r="N8" i="14" s="1"/>
  <c r="I18" i="12"/>
  <c r="J18" i="12" s="1"/>
  <c r="T8" i="11" s="1"/>
  <c r="I31" i="12"/>
  <c r="J31" i="12" s="1"/>
  <c r="M8" i="14" s="1"/>
  <c r="I21" i="12"/>
  <c r="J21" i="12" s="1"/>
  <c r="W8" i="11" s="1"/>
  <c r="I16" i="12"/>
  <c r="J16" i="12" s="1"/>
  <c r="R8" i="11" s="1"/>
  <c r="I15" i="12"/>
  <c r="J15" i="12" s="1"/>
  <c r="Q8" i="11" s="1"/>
  <c r="I23" i="12"/>
  <c r="J23" i="12" s="1"/>
  <c r="Y8" i="11" s="1"/>
  <c r="I11" i="12"/>
  <c r="J11" i="12" s="1"/>
  <c r="M8" i="11" s="1"/>
  <c r="I37" i="12"/>
  <c r="J37" i="12" s="1"/>
  <c r="S8" i="14" s="1"/>
  <c r="I25" i="12"/>
  <c r="J25" i="12" s="1"/>
  <c r="AA8" i="11" s="1"/>
  <c r="I20" i="12"/>
  <c r="J20" i="12" s="1"/>
  <c r="V8" i="11" s="1"/>
  <c r="I14" i="12"/>
  <c r="J14" i="12" s="1"/>
  <c r="P8" i="11" s="1"/>
  <c r="I33" i="12"/>
  <c r="J33" i="12" s="1"/>
  <c r="O8" i="14" s="1"/>
  <c r="I41" i="12"/>
  <c r="J41" i="12" s="1"/>
  <c r="W8" i="14" s="1"/>
  <c r="I38" i="12"/>
  <c r="J38" i="12" s="1"/>
  <c r="T8" i="14" s="1"/>
  <c r="I28" i="12"/>
  <c r="J28" i="12" s="1"/>
  <c r="AD8" i="11" s="1"/>
  <c r="I10" i="12"/>
  <c r="J10" i="12" s="1"/>
  <c r="L8" i="11" s="1"/>
  <c r="I19" i="12"/>
  <c r="J19" i="12" s="1"/>
  <c r="U8" i="11" s="1"/>
  <c r="I13" i="12"/>
  <c r="J13" i="12" s="1"/>
  <c r="O8" i="11" s="1"/>
  <c r="I36" i="12"/>
  <c r="J36" i="12" s="1"/>
  <c r="R8" i="14" s="1"/>
  <c r="I30" i="12"/>
  <c r="J30" i="12" s="1"/>
  <c r="L8" i="14" s="1"/>
  <c r="I26" i="12"/>
  <c r="J26" i="12" s="1"/>
  <c r="AB8" i="11" s="1"/>
  <c r="I17" i="12"/>
  <c r="J17" i="12" s="1"/>
  <c r="S8" i="11" s="1"/>
  <c r="I40" i="12"/>
  <c r="J40" i="12" s="1"/>
  <c r="V8" i="14" s="1"/>
  <c r="I27" i="12"/>
  <c r="J27" i="12" s="1"/>
  <c r="AC8" i="11" s="1"/>
  <c r="I35" i="12"/>
  <c r="J35" i="12" s="1"/>
  <c r="Q8" i="14" s="1"/>
  <c r="D14" i="13"/>
  <c r="D9" i="12"/>
  <c r="B33" i="12" s="1"/>
  <c r="C33" i="12" s="1"/>
  <c r="O7" i="14" s="1"/>
  <c r="B37" i="12"/>
  <c r="C37" i="12" s="1"/>
  <c r="S7" i="14" s="1"/>
  <c r="B39" i="12"/>
  <c r="C39" i="12" s="1"/>
  <c r="U7" i="14" s="1"/>
  <c r="B32" i="12"/>
  <c r="C32" i="12" s="1"/>
  <c r="N7" i="14" s="1"/>
  <c r="B28" i="12"/>
  <c r="C28" i="12" s="1"/>
  <c r="AD7" i="11" s="1"/>
  <c r="G50" i="13" l="1"/>
  <c r="B180" i="12"/>
  <c r="C180" i="12" s="1"/>
  <c r="V12" i="14" s="1"/>
  <c r="B176" i="12"/>
  <c r="C176" i="12" s="1"/>
  <c r="R12" i="14" s="1"/>
  <c r="B169" i="12"/>
  <c r="C169" i="12" s="1"/>
  <c r="AE12" i="11" s="1"/>
  <c r="AE26" i="11" s="1"/>
  <c r="B155" i="12"/>
  <c r="C155" i="12" s="1"/>
  <c r="Q12" i="11" s="1"/>
  <c r="Q26" i="11" s="1"/>
  <c r="B166" i="12"/>
  <c r="C166" i="12" s="1"/>
  <c r="AB12" i="11" s="1"/>
  <c r="AB26" i="11" s="1"/>
  <c r="B150" i="12"/>
  <c r="C150" i="12" s="1"/>
  <c r="L12" i="11" s="1"/>
  <c r="B181" i="12"/>
  <c r="C181" i="12" s="1"/>
  <c r="W12" i="14" s="1"/>
  <c r="B177" i="12"/>
  <c r="C177" i="12" s="1"/>
  <c r="S12" i="14" s="1"/>
  <c r="S27" i="14" s="1"/>
  <c r="B173" i="12"/>
  <c r="C173" i="12" s="1"/>
  <c r="O12" i="14" s="1"/>
  <c r="O23" i="14" s="1"/>
  <c r="B171" i="12"/>
  <c r="C171" i="12" s="1"/>
  <c r="M12" i="14" s="1"/>
  <c r="M27" i="14" s="1"/>
  <c r="B154" i="12"/>
  <c r="C154" i="12" s="1"/>
  <c r="P12" i="11" s="1"/>
  <c r="P26" i="11" s="1"/>
  <c r="B167" i="12"/>
  <c r="C167" i="12" s="1"/>
  <c r="AC12" i="11" s="1"/>
  <c r="AC26" i="11" s="1"/>
  <c r="B151" i="12"/>
  <c r="C151" i="12" s="1"/>
  <c r="M12" i="11" s="1"/>
  <c r="M26" i="11" s="1"/>
  <c r="B178" i="12"/>
  <c r="C178" i="12" s="1"/>
  <c r="T12" i="14" s="1"/>
  <c r="T25" i="14" s="1"/>
  <c r="B174" i="12"/>
  <c r="C174" i="12" s="1"/>
  <c r="P12" i="14" s="1"/>
  <c r="P25" i="14" s="1"/>
  <c r="B153" i="12"/>
  <c r="C153" i="12" s="1"/>
  <c r="O12" i="11" s="1"/>
  <c r="O26" i="11" s="1"/>
  <c r="B157" i="12"/>
  <c r="C157" i="12" s="1"/>
  <c r="S12" i="11" s="1"/>
  <c r="S26" i="11" s="1"/>
  <c r="B158" i="12"/>
  <c r="C158" i="12" s="1"/>
  <c r="T12" i="11" s="1"/>
  <c r="T26" i="11" s="1"/>
  <c r="B159" i="12"/>
  <c r="C159" i="12" s="1"/>
  <c r="U12" i="11" s="1"/>
  <c r="U26" i="11" s="1"/>
  <c r="B160" i="12"/>
  <c r="C160" i="12" s="1"/>
  <c r="V12" i="11" s="1"/>
  <c r="V26" i="11" s="1"/>
  <c r="B161" i="12"/>
  <c r="C161" i="12" s="1"/>
  <c r="W12" i="11" s="1"/>
  <c r="W26" i="11" s="1"/>
  <c r="B162" i="12"/>
  <c r="C162" i="12" s="1"/>
  <c r="X12" i="11" s="1"/>
  <c r="B163" i="12"/>
  <c r="C163" i="12" s="1"/>
  <c r="Y12" i="11" s="1"/>
  <c r="Y26" i="11" s="1"/>
  <c r="B164" i="12"/>
  <c r="C164" i="12" s="1"/>
  <c r="Z12" i="11" s="1"/>
  <c r="Z26" i="11" s="1"/>
  <c r="B168" i="12"/>
  <c r="C168" i="12" s="1"/>
  <c r="AD12" i="11" s="1"/>
  <c r="AD26" i="11" s="1"/>
  <c r="B179" i="12"/>
  <c r="C179" i="12" s="1"/>
  <c r="U12" i="14" s="1"/>
  <c r="U28" i="14" s="1"/>
  <c r="B175" i="12"/>
  <c r="C175" i="12" s="1"/>
  <c r="Q12" i="14" s="1"/>
  <c r="Q25" i="14" s="1"/>
  <c r="B172" i="12"/>
  <c r="C172" i="12" s="1"/>
  <c r="N12" i="14" s="1"/>
  <c r="N22" i="14" s="1"/>
  <c r="B170" i="12"/>
  <c r="C170" i="12" s="1"/>
  <c r="L12" i="14" s="1"/>
  <c r="B152" i="12"/>
  <c r="C152" i="12" s="1"/>
  <c r="N12" i="11" s="1"/>
  <c r="N26" i="11" s="1"/>
  <c r="B156" i="12"/>
  <c r="C156" i="12" s="1"/>
  <c r="R12" i="11" s="1"/>
  <c r="R22" i="11" s="1"/>
  <c r="B165" i="12"/>
  <c r="C165" i="12" s="1"/>
  <c r="AA12" i="11" s="1"/>
  <c r="AA26" i="11" s="1"/>
  <c r="X26" i="11"/>
  <c r="C14" i="13"/>
  <c r="C16" i="13" s="1"/>
  <c r="B38" i="12"/>
  <c r="C38" i="12" s="1"/>
  <c r="T7" i="14" s="1"/>
  <c r="B19" i="12"/>
  <c r="C19" i="12" s="1"/>
  <c r="U7" i="11" s="1"/>
  <c r="U29" i="11" s="1"/>
  <c r="B22" i="12"/>
  <c r="C22" i="12" s="1"/>
  <c r="X7" i="11" s="1"/>
  <c r="X23" i="11" s="1"/>
  <c r="B17" i="12"/>
  <c r="C17" i="12" s="1"/>
  <c r="S7" i="11" s="1"/>
  <c r="B27" i="12"/>
  <c r="C27" i="12" s="1"/>
  <c r="AC7" i="11" s="1"/>
  <c r="B25" i="12"/>
  <c r="C25" i="12" s="1"/>
  <c r="AA7" i="11" s="1"/>
  <c r="B18" i="12"/>
  <c r="C18" i="12" s="1"/>
  <c r="T7" i="11" s="1"/>
  <c r="T29" i="11" s="1"/>
  <c r="B36" i="12"/>
  <c r="C36" i="12" s="1"/>
  <c r="R7" i="14" s="1"/>
  <c r="B24" i="12"/>
  <c r="C24" i="12" s="1"/>
  <c r="Z7" i="11" s="1"/>
  <c r="B31" i="12"/>
  <c r="C31" i="12" s="1"/>
  <c r="M7" i="14" s="1"/>
  <c r="M30" i="14" s="1"/>
  <c r="B16" i="12"/>
  <c r="C16" i="12" s="1"/>
  <c r="R7" i="11" s="1"/>
  <c r="B40" i="12"/>
  <c r="C40" i="12" s="1"/>
  <c r="V7" i="14" s="1"/>
  <c r="B26" i="12"/>
  <c r="C26" i="12" s="1"/>
  <c r="AB7" i="11" s="1"/>
  <c r="B35" i="12"/>
  <c r="C35" i="12" s="1"/>
  <c r="Q7" i="14" s="1"/>
  <c r="B29" i="12"/>
  <c r="C29" i="12" s="1"/>
  <c r="AE7" i="11" s="1"/>
  <c r="B41" i="12"/>
  <c r="C41" i="12" s="1"/>
  <c r="W7" i="14" s="1"/>
  <c r="B21" i="12"/>
  <c r="C21" i="12" s="1"/>
  <c r="W7" i="11" s="1"/>
  <c r="B30" i="12"/>
  <c r="C30" i="12" s="1"/>
  <c r="L7" i="14" s="1"/>
  <c r="L30" i="14" s="1"/>
  <c r="B23" i="12"/>
  <c r="C23" i="12" s="1"/>
  <c r="Y7" i="11" s="1"/>
  <c r="B20" i="12"/>
  <c r="C20" i="12" s="1"/>
  <c r="V7" i="11" s="1"/>
  <c r="B34" i="12"/>
  <c r="C34" i="12" s="1"/>
  <c r="P7" i="14" s="1"/>
  <c r="AB28" i="11"/>
  <c r="AA29" i="11"/>
  <c r="L29" i="14"/>
  <c r="O29" i="14"/>
  <c r="O27" i="14"/>
  <c r="O28" i="14"/>
  <c r="AD25" i="11"/>
  <c r="AD29" i="11"/>
  <c r="AD27" i="11"/>
  <c r="N29" i="14"/>
  <c r="U25" i="14"/>
  <c r="U23" i="14"/>
  <c r="U27" i="14"/>
  <c r="U29" i="14"/>
  <c r="U22" i="14"/>
  <c r="U24" i="14"/>
  <c r="T29" i="14"/>
  <c r="T30" i="14"/>
  <c r="T24" i="14"/>
  <c r="S29" i="14"/>
  <c r="AD23" i="11" l="1"/>
  <c r="AD24" i="11"/>
  <c r="O26" i="14"/>
  <c r="O25" i="14"/>
  <c r="W30" i="11"/>
  <c r="AB27" i="11"/>
  <c r="AD30" i="11"/>
  <c r="O24" i="14"/>
  <c r="O30" i="14"/>
  <c r="W25" i="11"/>
  <c r="V30" i="14"/>
  <c r="S23" i="11"/>
  <c r="AD22" i="11"/>
  <c r="AD28" i="11"/>
  <c r="O22" i="14"/>
  <c r="U26" i="14"/>
  <c r="U30" i="14"/>
  <c r="M28" i="14"/>
  <c r="T23" i="14"/>
  <c r="U30" i="11"/>
  <c r="R26" i="14"/>
  <c r="P26" i="14"/>
  <c r="S26" i="14"/>
  <c r="N30" i="14"/>
  <c r="AA22" i="11"/>
  <c r="R26" i="11"/>
  <c r="S24" i="14"/>
  <c r="N27" i="14"/>
  <c r="Q23" i="14"/>
  <c r="AA28" i="11"/>
  <c r="N25" i="14"/>
  <c r="Z24" i="11"/>
  <c r="Z25" i="11"/>
  <c r="AC25" i="11"/>
  <c r="S25" i="14"/>
  <c r="AC27" i="11"/>
  <c r="S30" i="14"/>
  <c r="S28" i="14"/>
  <c r="S23" i="14"/>
  <c r="N26" i="14"/>
  <c r="N24" i="14"/>
  <c r="Z30" i="11"/>
  <c r="AC30" i="11"/>
  <c r="V28" i="11"/>
  <c r="W25" i="14"/>
  <c r="S22" i="14"/>
  <c r="N28" i="14"/>
  <c r="N23" i="14"/>
  <c r="Y24" i="11"/>
  <c r="AE27" i="11"/>
  <c r="R28" i="11"/>
  <c r="U27" i="11"/>
  <c r="U24" i="11"/>
  <c r="P23" i="14"/>
  <c r="W29" i="11"/>
  <c r="Z27" i="11"/>
  <c r="AC22" i="11"/>
  <c r="T22" i="14"/>
  <c r="T26" i="14"/>
  <c r="U25" i="11"/>
  <c r="U28" i="11"/>
  <c r="P27" i="14"/>
  <c r="P28" i="14"/>
  <c r="W22" i="11"/>
  <c r="W28" i="11"/>
  <c r="Z23" i="11"/>
  <c r="AC24" i="11"/>
  <c r="S24" i="11"/>
  <c r="AB25" i="11"/>
  <c r="P22" i="14"/>
  <c r="W24" i="11"/>
  <c r="Z22" i="11"/>
  <c r="AC28" i="11"/>
  <c r="AB22" i="11"/>
  <c r="T27" i="14"/>
  <c r="T28" i="14"/>
  <c r="U22" i="11"/>
  <c r="P30" i="14"/>
  <c r="P29" i="14"/>
  <c r="W27" i="11"/>
  <c r="Z28" i="11"/>
  <c r="AC29" i="11"/>
  <c r="AB29" i="11"/>
  <c r="D8" i="12"/>
  <c r="V22" i="14"/>
  <c r="V25" i="11"/>
  <c r="V24" i="14"/>
  <c r="R22" i="14"/>
  <c r="W22" i="14"/>
  <c r="AE23" i="11"/>
  <c r="X28" i="11"/>
  <c r="V29" i="11"/>
  <c r="R27" i="14"/>
  <c r="Y28" i="11"/>
  <c r="V23" i="14"/>
  <c r="T28" i="11"/>
  <c r="W28" i="14"/>
  <c r="S30" i="11"/>
  <c r="Y23" i="11"/>
  <c r="R27" i="11"/>
  <c r="T30" i="11"/>
  <c r="AE29" i="11"/>
  <c r="X29" i="11"/>
  <c r="Y22" i="11"/>
  <c r="L26" i="14"/>
  <c r="R29" i="11"/>
  <c r="T23" i="11"/>
  <c r="AE25" i="11"/>
  <c r="Q26" i="14"/>
  <c r="X30" i="11"/>
  <c r="U23" i="11"/>
  <c r="P24" i="14"/>
  <c r="Y29" i="11"/>
  <c r="W23" i="11"/>
  <c r="R23" i="11"/>
  <c r="Z29" i="11"/>
  <c r="T25" i="11"/>
  <c r="AC23" i="11"/>
  <c r="AE28" i="11"/>
  <c r="Q22" i="14"/>
  <c r="X25" i="11"/>
  <c r="AB24" i="11"/>
  <c r="V27" i="11"/>
  <c r="V26" i="14"/>
  <c r="R25" i="14"/>
  <c r="W23" i="14"/>
  <c r="S25" i="11"/>
  <c r="V23" i="11"/>
  <c r="V30" i="11"/>
  <c r="Y30" i="11"/>
  <c r="Y27" i="11"/>
  <c r="V29" i="14"/>
  <c r="V28" i="14"/>
  <c r="R24" i="11"/>
  <c r="R25" i="11"/>
  <c r="R29" i="14"/>
  <c r="R30" i="14"/>
  <c r="T27" i="11"/>
  <c r="T24" i="11"/>
  <c r="W30" i="14"/>
  <c r="W29" i="14"/>
  <c r="W24" i="14"/>
  <c r="AE30" i="11"/>
  <c r="AE24" i="11"/>
  <c r="S27" i="11"/>
  <c r="S29" i="11"/>
  <c r="X22" i="11"/>
  <c r="X27" i="11"/>
  <c r="V22" i="11"/>
  <c r="V25" i="14"/>
  <c r="R24" i="14"/>
  <c r="W26" i="14"/>
  <c r="S22" i="11"/>
  <c r="V24" i="11"/>
  <c r="Y25" i="11"/>
  <c r="V27" i="14"/>
  <c r="R30" i="11"/>
  <c r="R28" i="14"/>
  <c r="R23" i="14"/>
  <c r="T22" i="11"/>
  <c r="W27" i="14"/>
  <c r="AE22" i="11"/>
  <c r="S28" i="11"/>
  <c r="X24" i="11"/>
  <c r="L28" i="14"/>
  <c r="L22" i="14"/>
  <c r="L25" i="14"/>
  <c r="M23" i="14"/>
  <c r="M29" i="14"/>
  <c r="M26" i="14"/>
  <c r="AA25" i="11"/>
  <c r="AA23" i="11"/>
  <c r="Q30" i="14"/>
  <c r="Q24" i="14"/>
  <c r="L24" i="14"/>
  <c r="L23" i="14"/>
  <c r="M22" i="14"/>
  <c r="M25" i="14"/>
  <c r="AA30" i="11"/>
  <c r="AA27" i="11"/>
  <c r="Q27" i="14"/>
  <c r="Q28" i="14"/>
  <c r="AB30" i="11"/>
  <c r="AB23" i="11"/>
  <c r="L27" i="14"/>
  <c r="M24" i="14"/>
  <c r="AA24" i="11"/>
  <c r="Q29" i="14"/>
  <c r="C14" i="12" l="1"/>
  <c r="P7" i="11" s="1"/>
  <c r="B11" i="12"/>
  <c r="C11" i="12" s="1"/>
  <c r="M7" i="11" s="1"/>
  <c r="B10" i="12"/>
  <c r="C10" i="12" s="1"/>
  <c r="L7" i="11" s="1"/>
  <c r="B13" i="12"/>
  <c r="C13" i="12" s="1"/>
  <c r="O7" i="11" s="1"/>
  <c r="B12" i="12"/>
  <c r="C12" i="12" s="1"/>
  <c r="N7" i="11" s="1"/>
  <c r="C15" i="12"/>
  <c r="Q7" i="11" s="1"/>
  <c r="O29" i="11" l="1"/>
  <c r="O27" i="11"/>
  <c r="O23" i="11"/>
  <c r="O24" i="11"/>
  <c r="O25" i="11"/>
  <c r="O28" i="11"/>
  <c r="O30" i="11"/>
  <c r="O22" i="11"/>
  <c r="L25" i="11"/>
  <c r="L24" i="11"/>
  <c r="L30" i="11"/>
  <c r="L28" i="11"/>
  <c r="L22" i="11"/>
  <c r="L23" i="11"/>
  <c r="L27" i="11"/>
  <c r="L29" i="11"/>
  <c r="Q29" i="11"/>
  <c r="Q28" i="11"/>
  <c r="Q22" i="11"/>
  <c r="Q30" i="11"/>
  <c r="Q24" i="11"/>
  <c r="Q23" i="11"/>
  <c r="Q25" i="11"/>
  <c r="Q27" i="11"/>
  <c r="M22" i="11"/>
  <c r="M24" i="11"/>
  <c r="M30" i="11"/>
  <c r="M25" i="11"/>
  <c r="M28" i="11"/>
  <c r="M29" i="11"/>
  <c r="M27" i="11"/>
  <c r="M23" i="11"/>
  <c r="N27" i="11"/>
  <c r="N22" i="11"/>
  <c r="N29" i="11"/>
  <c r="N24" i="11"/>
  <c r="N25" i="11"/>
  <c r="N30" i="11"/>
  <c r="N23" i="11"/>
  <c r="N28" i="11"/>
  <c r="P23" i="11"/>
  <c r="P24" i="11"/>
  <c r="P29" i="11"/>
  <c r="P25" i="11"/>
  <c r="P30" i="11"/>
  <c r="P27" i="11"/>
  <c r="P28" i="11"/>
  <c r="P22" i="11"/>
</calcChain>
</file>

<file path=xl/sharedStrings.xml><?xml version="1.0" encoding="utf-8"?>
<sst xmlns="http://schemas.openxmlformats.org/spreadsheetml/2006/main" count="324" uniqueCount="122">
  <si>
    <t>BENEFIT</t>
  </si>
  <si>
    <t>Annual Salary</t>
  </si>
  <si>
    <t>AFSCME</t>
  </si>
  <si>
    <t>Supplemental</t>
  </si>
  <si>
    <t>x</t>
  </si>
  <si>
    <t>UNIVERSITY COSTS FOR BENEFITS AS A PERCENTAGE OF SALARY</t>
  </si>
  <si>
    <t>Professional Specialist</t>
  </si>
  <si>
    <t>GSI, GSSA, GSRA</t>
  </si>
  <si>
    <t>Research Fellows</t>
  </si>
  <si>
    <r>
      <t>Health Insurance</t>
    </r>
    <r>
      <rPr>
        <vertAlign val="superscript"/>
        <sz val="10"/>
        <rFont val="Arial"/>
        <family val="2"/>
      </rPr>
      <t>1</t>
    </r>
  </si>
  <si>
    <t xml:space="preserve"> </t>
  </si>
  <si>
    <t>Based on Meeting Eligibility Criteria for each Job Family and Benefit</t>
  </si>
  <si>
    <t xml:space="preserve">HOA (House Officers Association) </t>
  </si>
  <si>
    <t>HOA (House Officers Association)</t>
  </si>
  <si>
    <t>POAM (Police Officer Association of Michigan), MNA (Michigan Nurses Association), IUOE (International Union of Operating Engineers), Trades (Washtenaw Association of Building Trades)</t>
  </si>
  <si>
    <t>Health</t>
  </si>
  <si>
    <t>Rate divided by salary</t>
  </si>
  <si>
    <t>University Life</t>
  </si>
  <si>
    <t>Annual UC per participant</t>
  </si>
  <si>
    <t>Annual rate divided by salary</t>
  </si>
  <si>
    <t>FICA</t>
  </si>
  <si>
    <t>Dental</t>
  </si>
  <si>
    <t>Expanded Disability Plan</t>
  </si>
  <si>
    <t>HOA LTD</t>
  </si>
  <si>
    <t>Basic LTD</t>
  </si>
  <si>
    <t>cost/1000</t>
  </si>
  <si>
    <t>cost/month</t>
  </si>
  <si>
    <t>cost/year</t>
  </si>
  <si>
    <t>%/salary</t>
  </si>
  <si>
    <t>"</t>
  </si>
  <si>
    <t>Benefits Recharge</t>
  </si>
  <si>
    <t>Plan Type</t>
  </si>
  <si>
    <t>Plan Type Description</t>
  </si>
  <si>
    <t>Dollar Amount</t>
  </si>
  <si>
    <t>Dental Calculation</t>
  </si>
  <si>
    <t>Rates by Coverage</t>
  </si>
  <si>
    <t>Basic Retirement</t>
  </si>
  <si>
    <t>All Plan Types</t>
  </si>
  <si>
    <t>LEO</t>
  </si>
  <si>
    <t>Faculty &amp; Staff</t>
  </si>
  <si>
    <t>Variable Benefit Eligibility by Job Groupings</t>
  </si>
  <si>
    <t>Faculty &amp; Staff (Professional, Managerial, Executive)</t>
  </si>
  <si>
    <t>Benefits as a Percentage of Salary by Job Family</t>
  </si>
  <si>
    <t>GradCare</t>
  </si>
  <si>
    <r>
      <t>GradCare Health Insurance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/>
    </r>
  </si>
  <si>
    <r>
      <t>GradCare Health Insurance</t>
    </r>
    <r>
      <rPr>
        <vertAlign val="superscript"/>
        <sz val="10"/>
        <rFont val="Arial"/>
        <family val="2"/>
      </rPr>
      <t>2</t>
    </r>
  </si>
  <si>
    <r>
      <t>University Life Insurance</t>
    </r>
    <r>
      <rPr>
        <vertAlign val="superscript"/>
        <sz val="10"/>
        <rFont val="Arial"/>
        <family val="2"/>
      </rPr>
      <t>3</t>
    </r>
  </si>
  <si>
    <r>
      <t>FICA</t>
    </r>
    <r>
      <rPr>
        <vertAlign val="superscript"/>
        <sz val="10"/>
        <rFont val="Arial"/>
        <family val="2"/>
      </rPr>
      <t>5</t>
    </r>
  </si>
  <si>
    <r>
      <t>Dental</t>
    </r>
    <r>
      <rPr>
        <vertAlign val="superscript"/>
        <sz val="10"/>
        <rFont val="Arial"/>
        <family val="2"/>
      </rPr>
      <t>6</t>
    </r>
  </si>
  <si>
    <r>
      <t>Long-Term Disability - Expanded Plan</t>
    </r>
    <r>
      <rPr>
        <vertAlign val="superscript"/>
        <sz val="10"/>
        <rFont val="Arial"/>
        <family val="2"/>
      </rPr>
      <t>7</t>
    </r>
  </si>
  <si>
    <r>
      <t>Long-Term Disability - Basic Plan</t>
    </r>
    <r>
      <rPr>
        <vertAlign val="superscript"/>
        <sz val="10"/>
        <rFont val="Arial"/>
        <family val="2"/>
      </rPr>
      <t>8</t>
    </r>
  </si>
  <si>
    <r>
      <t>Long-Term Disability - HOA Plan</t>
    </r>
    <r>
      <rPr>
        <vertAlign val="superscript"/>
        <sz val="10"/>
        <rFont val="Arial"/>
        <family val="2"/>
      </rPr>
      <t>9</t>
    </r>
  </si>
  <si>
    <t>GradCare Only</t>
  </si>
  <si>
    <t>$2.43/mth up to 30,000</t>
  </si>
  <si>
    <t>Per $100 of Covered Salary</t>
  </si>
  <si>
    <t>Maximum Salary of $6,000 per Month or $72,000 per year</t>
  </si>
  <si>
    <t>Maximum Annual Premium</t>
  </si>
  <si>
    <t>Tier 1</t>
  </si>
  <si>
    <t>Tier 2</t>
  </si>
  <si>
    <t xml:space="preserve">Tier 3 </t>
  </si>
  <si>
    <t>Tier 4&amp;9</t>
  </si>
  <si>
    <t>Band1</t>
  </si>
  <si>
    <t>Band 3</t>
  </si>
  <si>
    <t>Band 1</t>
  </si>
  <si>
    <t>Enrollment</t>
  </si>
  <si>
    <t>UC</t>
  </si>
  <si>
    <t>Monthly Cost</t>
  </si>
  <si>
    <t>FY Annual Cost</t>
  </si>
  <si>
    <t>Cost Per Contract</t>
  </si>
  <si>
    <t>Part-Time</t>
  </si>
  <si>
    <t>MHealthy</t>
  </si>
  <si>
    <t>Monthly MHealthy Programs</t>
  </si>
  <si>
    <t>Monthly MHealthy Rewards</t>
  </si>
  <si>
    <t xml:space="preserve">Monthly MHealthy Total </t>
  </si>
  <si>
    <t>Annual MHealthy per Employee</t>
  </si>
  <si>
    <r>
      <t>Benefits Recharge Pool</t>
    </r>
    <r>
      <rPr>
        <vertAlign val="superscript"/>
        <sz val="10"/>
        <rFont val="Arial"/>
        <family val="2"/>
      </rPr>
      <t>11</t>
    </r>
  </si>
  <si>
    <r>
      <t>MHealthy Programs and Rewards</t>
    </r>
    <r>
      <rPr>
        <vertAlign val="superscript"/>
        <sz val="10"/>
        <rFont val="Arial"/>
        <family val="2"/>
      </rPr>
      <t>10</t>
    </r>
    <r>
      <rPr>
        <sz val="10"/>
        <rFont val="Arial"/>
      </rPr>
      <t/>
    </r>
  </si>
  <si>
    <r>
      <t xml:space="preserve"> 11 </t>
    </r>
    <r>
      <rPr>
        <sz val="10"/>
        <rFont val="Arial"/>
        <family val="2"/>
      </rPr>
      <t>Reflects funding for retiree benefit costs (health, dental, life insurance, MedB reimbursement); plus operating expenses for Benefits, M-Healthy FASAP,Work Life Resources, funding for Work~Connections, Travel Accident, Service Awards programs.</t>
    </r>
  </si>
  <si>
    <t>FICA not included in total for GSI, GSSA, GSRA.  Add FICA if applicable.  See note 5 below.</t>
  </si>
  <si>
    <t>Medical Calculation (Source Renewals)</t>
  </si>
  <si>
    <t>Jan</t>
  </si>
  <si>
    <t>Total</t>
  </si>
  <si>
    <r>
      <t>Subtotal: Benefits with direct % of pay cost basis</t>
    </r>
    <r>
      <rPr>
        <vertAlign val="superscript"/>
        <sz val="10"/>
        <rFont val="Arial"/>
        <family val="2"/>
      </rPr>
      <t>12</t>
    </r>
  </si>
  <si>
    <r>
      <t xml:space="preserve"> 10 </t>
    </r>
    <r>
      <rPr>
        <sz val="10"/>
        <rFont val="Arial"/>
        <family val="2"/>
      </rPr>
      <t>The Annual University Contribution for MHeathy Program and Rewards is $127.32 per employee.</t>
    </r>
  </si>
  <si>
    <t>$13.55 per $1000 of monthly salary.  Covered max $28,800</t>
  </si>
  <si>
    <t>Monthly max $32.52</t>
  </si>
  <si>
    <r>
      <t xml:space="preserve"> 8 </t>
    </r>
    <r>
      <rPr>
        <sz val="10"/>
        <rFont val="Arial"/>
        <family val="2"/>
      </rPr>
      <t xml:space="preserve">The Maximum Annual University Contribution is $390.24 for employees making $28,800 or more.  University contribution begins after four years of service. </t>
    </r>
  </si>
  <si>
    <t>Calendar Year</t>
  </si>
  <si>
    <r>
      <t>Basic Retirement (10% University Contribution)</t>
    </r>
    <r>
      <rPr>
        <vertAlign val="superscript"/>
        <sz val="10"/>
        <rFont val="Arial"/>
        <family val="2"/>
      </rPr>
      <t>4</t>
    </r>
  </si>
  <si>
    <r>
      <t xml:space="preserve"> 12 </t>
    </r>
    <r>
      <rPr>
        <sz val="10"/>
        <rFont val="Arial"/>
        <family val="2"/>
      </rPr>
      <t>This percentage includes FICA, Basic Retirement (at 10%), and Benefits Recharge Pool which are % of pay benefits.  Benefits will increase by this % for incremental salary adjustments within the salary range.  Note: Not all job classes have basic retirement or FICA.  The % will be lower for those groups.</t>
    </r>
  </si>
  <si>
    <r>
      <t xml:space="preserve"> 4 </t>
    </r>
    <r>
      <rPr>
        <sz val="10"/>
        <rFont val="Arial"/>
        <family val="2"/>
      </rPr>
      <t xml:space="preserve">University Contribution does not apply during first year of service for new hires.  </t>
    </r>
  </si>
  <si>
    <t xml:space="preserve">2022 Projected Active UC </t>
  </si>
  <si>
    <t>6 Months 22</t>
  </si>
  <si>
    <t>2021 Max</t>
  </si>
  <si>
    <r>
      <t xml:space="preserve"> 9 </t>
    </r>
    <r>
      <rPr>
        <sz val="10"/>
        <rFont val="Arial"/>
        <family val="2"/>
      </rPr>
      <t xml:space="preserve">The Maximum Annual University Contribution is $218.16 for employees making $72,000 or more.  </t>
    </r>
  </si>
  <si>
    <r>
      <t xml:space="preserve"> 12 </t>
    </r>
    <r>
      <rPr>
        <sz val="10"/>
        <rFont val="Arial"/>
        <family val="2"/>
      </rPr>
      <t xml:space="preserve">This percentage includes FICA, Basic Retirement (at 10%), and Benefits Recharge Pool which are % of pay benefits.  Benefits will increase by this % for incremental salary adjustments within the salary range.  Note: Not all job classes have basic retirement or FICA. </t>
    </r>
  </si>
  <si>
    <t>March, 2022</t>
  </si>
  <si>
    <t>March, 2023 Projected</t>
  </si>
  <si>
    <t xml:space="preserve">2023 Projected Active UC </t>
  </si>
  <si>
    <t>January, 2022 GradCare Enrollment</t>
  </si>
  <si>
    <t>January, 2022</t>
  </si>
  <si>
    <t>January, 2023 Projection</t>
  </si>
  <si>
    <t>6 Months 23</t>
  </si>
  <si>
    <t>Estimated Health UC 7/1/22-6/30/23</t>
  </si>
  <si>
    <t>Health Participation as of 1/1/22</t>
  </si>
  <si>
    <t>x12 mths (7/1/22-06/30/23) =</t>
  </si>
  <si>
    <t>Max 2022 147,000 x .0765=</t>
  </si>
  <si>
    <r>
      <t xml:space="preserve"> 5 </t>
    </r>
    <r>
      <rPr>
        <sz val="10"/>
        <rFont val="Arial"/>
        <family val="2"/>
      </rPr>
      <t>2022 FICA = 7.65% of salary up to $147,000 and 1.45% of salary in excess of $147,000.  GSI's, GSSA's &amp; GSRA's may be subject to FICA based on student level &amp; credit hours.</t>
    </r>
  </si>
  <si>
    <t>Retirement Max = 305,000*10%</t>
  </si>
  <si>
    <r>
      <t xml:space="preserve"> 4 </t>
    </r>
    <r>
      <rPr>
        <sz val="10"/>
        <rFont val="Arial"/>
        <family val="2"/>
      </rPr>
      <t>Assumes person is participating in basic retirement plan. University matches contribution of eligible salaries up to a maximum salary of $305,000.</t>
    </r>
  </si>
  <si>
    <t>Estimated Fiscal Year 2023</t>
  </si>
  <si>
    <t>Dental Participation as of 1/1/22</t>
  </si>
  <si>
    <t>Estimated Dental UC 7/1/22-6/30/23</t>
  </si>
  <si>
    <t>$5.44/1,000 up to 67,800 Annual Salary</t>
  </si>
  <si>
    <t>Cap 67,800</t>
  </si>
  <si>
    <r>
      <t xml:space="preserve"> 1 </t>
    </r>
    <r>
      <rPr>
        <sz val="10"/>
        <rFont val="Arial"/>
        <family val="2"/>
      </rPr>
      <t xml:space="preserve">Average University contribution for Medical &amp; RX = Estimated FY23 University contribution divided by the number of health participants.  Band 1 = $11,553 (Salaries $48,000 or Less), Band 3 = $10,905 (Salaries 67,801 or Greater)* </t>
    </r>
  </si>
  <si>
    <r>
      <t xml:space="preserve"> 2 </t>
    </r>
    <r>
      <rPr>
        <sz val="10"/>
        <rFont val="Arial"/>
        <family val="2"/>
      </rPr>
      <t>Average University contribution for GradCare Medical &amp; RX = Estimated FY23 University contribution divided by the number of health participants.  Annual Average= $4,584</t>
    </r>
  </si>
  <si>
    <r>
      <t xml:space="preserve"> 3 </t>
    </r>
    <r>
      <rPr>
        <sz val="10"/>
        <rFont val="Arial"/>
        <family val="2"/>
      </rPr>
      <t>University Life Insurance Plan Average $2.43/mth x 12 mos (7/1/22-6/30/23) = $29.16 for $30,000 benefit.</t>
    </r>
  </si>
  <si>
    <t>*For Part-Time Employees working less than 30 hours per week, the average University Contribution is $9,242.</t>
  </si>
  <si>
    <r>
      <t xml:space="preserve"> 7 </t>
    </r>
    <r>
      <rPr>
        <sz val="10"/>
        <rFont val="Arial"/>
        <family val="2"/>
      </rPr>
      <t xml:space="preserve">The Maximum Annual University Contribution is $368.83 for employees making $67,800 or more.  University contribution begins after two years of service.  </t>
    </r>
  </si>
  <si>
    <t>POAM, COAM, MNA, UPAMM, IUOE, Trades</t>
  </si>
  <si>
    <r>
      <t xml:space="preserve"> 6</t>
    </r>
    <r>
      <rPr>
        <sz val="10"/>
        <rFont val="Arial"/>
        <family val="2"/>
      </rPr>
      <t xml:space="preserve"> Average University Contribution for Dental = Estimated FY23 University contribution divided by the number of dental participants.  Annual Average= $461.95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</si>
</sst>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;[Red]&quot;$&quot;#,##0"/>
    <numFmt numFmtId="166" formatCode="#,##0.00;[Red]#,##0.00"/>
    <numFmt numFmtId="167" formatCode="0.00;[Red]0.00"/>
    <numFmt numFmtId="168" formatCode="#,##0;[Red]#,##0"/>
    <numFmt numFmtId="169" formatCode="&quot;$&quot;#,##0.00;[Red]&quot;$&quot;#,##0.00"/>
    <numFmt numFmtId="170" formatCode="&quot;$&quot;#,##0.00"/>
    <numFmt numFmtId="171" formatCode="_(* #,##0_);_(* \(#,##0\);_(* &quot;-&quot;??_);_(@_)"/>
    <numFmt numFmtId="172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10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textRotation="60" wrapText="1"/>
    </xf>
    <xf numFmtId="5" fontId="5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wrapText="1"/>
    </xf>
    <xf numFmtId="1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3" fillId="0" borderId="7" xfId="0" applyFont="1" applyBorder="1"/>
    <xf numFmtId="5" fontId="5" fillId="0" borderId="8" xfId="0" applyNumberFormat="1" applyFont="1" applyBorder="1"/>
    <xf numFmtId="0" fontId="4" fillId="0" borderId="9" xfId="0" applyFont="1" applyBorder="1"/>
    <xf numFmtId="0" fontId="5" fillId="0" borderId="10" xfId="0" applyFont="1" applyBorder="1"/>
    <xf numFmtId="0" fontId="0" fillId="0" borderId="9" xfId="0" applyBorder="1"/>
    <xf numFmtId="0" fontId="0" fillId="0" borderId="11" xfId="0" applyBorder="1"/>
    <xf numFmtId="0" fontId="4" fillId="0" borderId="2" xfId="0" applyFont="1" applyFill="1" applyBorder="1" applyAlignment="1">
      <alignment textRotation="60" wrapText="1"/>
    </xf>
    <xf numFmtId="0" fontId="4" fillId="0" borderId="9" xfId="0" applyFont="1" applyBorder="1" applyAlignment="1">
      <alignment wrapText="1"/>
    </xf>
    <xf numFmtId="0" fontId="8" fillId="0" borderId="1" xfId="0" applyFont="1" applyBorder="1"/>
    <xf numFmtId="0" fontId="9" fillId="2" borderId="0" xfId="0" applyFont="1" applyFill="1"/>
    <xf numFmtId="10" fontId="0" fillId="0" borderId="0" xfId="0" applyNumberFormat="1"/>
    <xf numFmtId="37" fontId="0" fillId="0" borderId="0" xfId="1" applyNumberFormat="1" applyFont="1"/>
    <xf numFmtId="10" fontId="0" fillId="0" borderId="0" xfId="3" applyNumberFormat="1" applyFont="1"/>
    <xf numFmtId="165" fontId="0" fillId="0" borderId="0" xfId="0" applyNumberFormat="1"/>
    <xf numFmtId="166" fontId="0" fillId="0" borderId="0" xfId="0" applyNumberFormat="1" applyFill="1"/>
    <xf numFmtId="2" fontId="0" fillId="0" borderId="0" xfId="0" applyNumberFormat="1"/>
    <xf numFmtId="10" fontId="0" fillId="3" borderId="0" xfId="0" applyNumberFormat="1" applyFill="1"/>
    <xf numFmtId="10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44" fontId="0" fillId="0" borderId="0" xfId="2" applyFont="1"/>
    <xf numFmtId="167" fontId="0" fillId="0" borderId="0" xfId="0" applyNumberFormat="1"/>
    <xf numFmtId="9" fontId="0" fillId="0" borderId="0" xfId="0" applyNumberFormat="1"/>
    <xf numFmtId="10" fontId="0" fillId="3" borderId="0" xfId="3" applyNumberFormat="1" applyFont="1" applyFill="1"/>
    <xf numFmtId="0" fontId="0" fillId="0" borderId="0" xfId="0" applyFill="1"/>
    <xf numFmtId="43" fontId="0" fillId="0" borderId="0" xfId="1" applyFont="1"/>
    <xf numFmtId="168" fontId="0" fillId="0" borderId="0" xfId="0" applyNumberFormat="1"/>
    <xf numFmtId="10" fontId="0" fillId="2" borderId="0" xfId="0" applyNumberFormat="1" applyFill="1"/>
    <xf numFmtId="1" fontId="0" fillId="0" borderId="0" xfId="0" applyNumberFormat="1"/>
    <xf numFmtId="9" fontId="0" fillId="0" borderId="0" xfId="3" applyFont="1"/>
    <xf numFmtId="164" fontId="0" fillId="0" borderId="0" xfId="0" applyNumberFormat="1" applyFill="1"/>
    <xf numFmtId="165" fontId="0" fillId="4" borderId="0" xfId="0" applyNumberFormat="1" applyFill="1"/>
    <xf numFmtId="169" fontId="0" fillId="0" borderId="0" xfId="0" applyNumberFormat="1"/>
    <xf numFmtId="168" fontId="0" fillId="4" borderId="0" xfId="0" applyNumberFormat="1" applyFill="1"/>
    <xf numFmtId="166" fontId="0" fillId="4" borderId="0" xfId="0" applyNumberFormat="1" applyFill="1"/>
    <xf numFmtId="8" fontId="0" fillId="0" borderId="0" xfId="0" applyNumberFormat="1"/>
    <xf numFmtId="44" fontId="0" fillId="4" borderId="0" xfId="2" applyFont="1" applyFill="1"/>
    <xf numFmtId="167" fontId="0" fillId="4" borderId="0" xfId="0" applyNumberFormat="1" applyFill="1"/>
    <xf numFmtId="170" fontId="0" fillId="4" borderId="0" xfId="0" applyNumberFormat="1" applyFill="1"/>
    <xf numFmtId="0" fontId="0" fillId="0" borderId="0" xfId="0" applyFill="1" applyBorder="1"/>
    <xf numFmtId="10" fontId="4" fillId="0" borderId="1" xfId="0" applyNumberFormat="1" applyFont="1" applyBorder="1"/>
    <xf numFmtId="10" fontId="4" fillId="0" borderId="10" xfId="0" applyNumberFormat="1" applyFont="1" applyBorder="1"/>
    <xf numFmtId="10" fontId="4" fillId="0" borderId="10" xfId="0" quotePrefix="1" applyNumberFormat="1" applyFont="1" applyBorder="1"/>
    <xf numFmtId="10" fontId="4" fillId="0" borderId="1" xfId="0" quotePrefix="1" applyNumberFormat="1" applyFont="1" applyBorder="1"/>
    <xf numFmtId="0" fontId="6" fillId="0" borderId="12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13" xfId="0" applyFont="1" applyBorder="1"/>
    <xf numFmtId="0" fontId="4" fillId="0" borderId="14" xfId="0" applyFont="1" applyBorder="1"/>
    <xf numFmtId="0" fontId="4" fillId="0" borderId="14" xfId="0" applyFont="1" applyBorder="1" applyAlignment="1">
      <alignment wrapText="1"/>
    </xf>
    <xf numFmtId="0" fontId="4" fillId="0" borderId="15" xfId="0" applyFont="1" applyBorder="1"/>
    <xf numFmtId="44" fontId="0" fillId="0" borderId="0" xfId="2" applyFont="1" applyFill="1"/>
    <xf numFmtId="37" fontId="0" fillId="0" borderId="0" xfId="2" applyNumberFormat="1" applyFont="1" applyFill="1"/>
    <xf numFmtId="7" fontId="0" fillId="0" borderId="0" xfId="1" applyNumberFormat="1" applyFont="1"/>
    <xf numFmtId="0" fontId="0" fillId="0" borderId="9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0" fontId="0" fillId="0" borderId="1" xfId="0" applyNumberFormat="1" applyFill="1" applyBorder="1"/>
    <xf numFmtId="167" fontId="0" fillId="0" borderId="0" xfId="0" applyNumberFormat="1" applyFill="1"/>
    <xf numFmtId="6" fontId="0" fillId="0" borderId="0" xfId="0" applyNumberFormat="1" applyFill="1"/>
    <xf numFmtId="171" fontId="10" fillId="0" borderId="0" xfId="1" applyNumberFormat="1" applyFont="1"/>
    <xf numFmtId="171" fontId="0" fillId="0" borderId="0" xfId="1" applyNumberFormat="1" applyFont="1"/>
    <xf numFmtId="171" fontId="0" fillId="0" borderId="0" xfId="3" applyNumberFormat="1" applyFont="1"/>
    <xf numFmtId="170" fontId="0" fillId="0" borderId="0" xfId="0" applyNumberFormat="1" applyFill="1"/>
    <xf numFmtId="3" fontId="0" fillId="0" borderId="0" xfId="0" applyNumberFormat="1" applyFill="1"/>
    <xf numFmtId="0" fontId="0" fillId="0" borderId="0" xfId="0" applyAlignment="1">
      <alignment horizontal="center"/>
    </xf>
    <xf numFmtId="171" fontId="0" fillId="0" borderId="14" xfId="1" applyNumberFormat="1" applyFont="1" applyBorder="1"/>
    <xf numFmtId="171" fontId="0" fillId="0" borderId="0" xfId="0" applyNumberFormat="1"/>
    <xf numFmtId="43" fontId="0" fillId="0" borderId="0" xfId="0" applyNumberFormat="1"/>
    <xf numFmtId="0" fontId="9" fillId="0" borderId="0" xfId="0" applyFont="1"/>
    <xf numFmtId="17" fontId="0" fillId="0" borderId="0" xfId="0" applyNumberFormat="1" applyAlignment="1">
      <alignment horizontal="center"/>
    </xf>
    <xf numFmtId="43" fontId="0" fillId="0" borderId="14" xfId="0" applyNumberFormat="1" applyBorder="1"/>
    <xf numFmtId="170" fontId="0" fillId="0" borderId="0" xfId="0" applyNumberFormat="1"/>
    <xf numFmtId="10" fontId="0" fillId="0" borderId="10" xfId="0" applyNumberFormat="1" applyBorder="1"/>
    <xf numFmtId="10" fontId="0" fillId="0" borderId="10" xfId="0" applyNumberFormat="1" applyFill="1" applyBorder="1"/>
    <xf numFmtId="10" fontId="0" fillId="0" borderId="16" xfId="0" applyNumberFormat="1" applyBorder="1"/>
    <xf numFmtId="37" fontId="0" fillId="0" borderId="0" xfId="1" applyNumberFormat="1" applyFont="1" applyFill="1"/>
    <xf numFmtId="10" fontId="0" fillId="0" borderId="0" xfId="3" applyNumberFormat="1" applyFont="1" applyFill="1"/>
    <xf numFmtId="2" fontId="0" fillId="0" borderId="0" xfId="0" applyNumberFormat="1" applyFill="1"/>
    <xf numFmtId="0" fontId="4" fillId="0" borderId="0" xfId="0" applyFont="1"/>
    <xf numFmtId="37" fontId="4" fillId="0" borderId="0" xfId="1" applyNumberFormat="1" applyFont="1"/>
    <xf numFmtId="171" fontId="0" fillId="4" borderId="0" xfId="1" applyNumberFormat="1" applyFont="1" applyFill="1"/>
    <xf numFmtId="17" fontId="4" fillId="0" borderId="0" xfId="0" quotePrefix="1" applyNumberFormat="1" applyFont="1"/>
    <xf numFmtId="172" fontId="0" fillId="0" borderId="0" xfId="2" applyNumberFormat="1" applyFont="1"/>
    <xf numFmtId="0" fontId="8" fillId="0" borderId="17" xfId="0" applyFont="1" applyBorder="1"/>
    <xf numFmtId="169" fontId="0" fillId="4" borderId="0" xfId="0" applyNumberFormat="1" applyFill="1"/>
    <xf numFmtId="169" fontId="0" fillId="4" borderId="18" xfId="0" applyNumberFormat="1" applyFill="1" applyBorder="1"/>
    <xf numFmtId="10" fontId="0" fillId="0" borderId="19" xfId="0" applyNumberForma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10" fontId="4" fillId="0" borderId="3" xfId="0" applyNumberFormat="1" applyFont="1" applyBorder="1"/>
    <xf numFmtId="10" fontId="4" fillId="0" borderId="16" xfId="0" applyNumberFormat="1" applyFont="1" applyBorder="1"/>
    <xf numFmtId="0" fontId="0" fillId="0" borderId="13" xfId="0" applyBorder="1"/>
    <xf numFmtId="0" fontId="4" fillId="0" borderId="26" xfId="0" applyFont="1" applyBorder="1"/>
    <xf numFmtId="0" fontId="0" fillId="0" borderId="27" xfId="0" applyBorder="1"/>
    <xf numFmtId="0" fontId="0" fillId="0" borderId="27" xfId="0" applyBorder="1" applyAlignment="1">
      <alignment wrapText="1"/>
    </xf>
    <xf numFmtId="10" fontId="0" fillId="0" borderId="27" xfId="0" applyNumberFormat="1" applyBorder="1"/>
    <xf numFmtId="0" fontId="8" fillId="0" borderId="12" xfId="0" applyFont="1" applyBorder="1"/>
    <xf numFmtId="37" fontId="4" fillId="0" borderId="0" xfId="1" applyNumberFormat="1" applyFont="1" applyAlignment="1">
      <alignment horizontal="right"/>
    </xf>
    <xf numFmtId="2" fontId="4" fillId="0" borderId="0" xfId="0" applyNumberFormat="1" applyFont="1"/>
    <xf numFmtId="44" fontId="0" fillId="0" borderId="0" xfId="0" applyNumberFormat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47"/>
  <sheetViews>
    <sheetView showGridLines="0" tabSelected="1" zoomScaleNormal="100" workbookViewId="0">
      <selection activeCell="P5" sqref="P5"/>
    </sheetView>
  </sheetViews>
  <sheetFormatPr defaultColWidth="9.1796875" defaultRowHeight="12.5" x14ac:dyDescent="0.25"/>
  <cols>
    <col min="1" max="1" width="43.26953125" style="1" customWidth="1"/>
    <col min="2" max="2" width="6.453125" style="1" customWidth="1"/>
    <col min="3" max="3" width="4" style="1" customWidth="1"/>
    <col min="4" max="4" width="6.08984375" style="1" bestFit="1" customWidth="1"/>
    <col min="5" max="7" width="4" style="1" customWidth="1"/>
    <col min="8" max="8" width="4.453125" style="1" customWidth="1"/>
    <col min="9" max="10" width="3.453125" style="1" customWidth="1"/>
    <col min="11" max="11" width="29.453125" style="3" customWidth="1"/>
    <col min="12" max="12" width="8.453125" style="1" bestFit="1" customWidth="1"/>
    <col min="13" max="13" width="8" style="1" bestFit="1" customWidth="1"/>
    <col min="14" max="23" width="8.7265625" style="1" customWidth="1"/>
    <col min="24" max="25" width="9.1796875" style="1"/>
    <col min="26" max="26" width="10.26953125" style="1" bestFit="1" customWidth="1"/>
    <col min="27" max="29" width="9.1796875" style="1"/>
    <col min="30" max="31" width="9" style="1" bestFit="1" customWidth="1"/>
    <col min="32" max="16384" width="9.1796875" style="1"/>
  </cols>
  <sheetData>
    <row r="1" spans="1:31" s="2" customFormat="1" ht="15.75" customHeight="1" x14ac:dyDescent="0.35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30"/>
    </row>
    <row r="2" spans="1:31" s="2" customFormat="1" ht="21.75" customHeight="1" x14ac:dyDescent="0.35">
      <c r="A2" s="128" t="s">
        <v>110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30"/>
    </row>
    <row r="3" spans="1:31" s="2" customFormat="1" ht="21.75" customHeight="1" x14ac:dyDescent="0.35">
      <c r="A3" s="128" t="s">
        <v>11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30"/>
    </row>
    <row r="4" spans="1:31" ht="31.5" customHeight="1" x14ac:dyDescent="0.35">
      <c r="A4" s="125" t="s">
        <v>40</v>
      </c>
      <c r="B4" s="126"/>
      <c r="C4" s="126"/>
      <c r="D4" s="126"/>
      <c r="E4" s="126"/>
      <c r="F4" s="126"/>
      <c r="G4" s="126"/>
      <c r="H4" s="126"/>
      <c r="I4" s="126"/>
      <c r="J4" s="126"/>
      <c r="K4" s="127"/>
      <c r="L4" s="128" t="s">
        <v>1</v>
      </c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30"/>
    </row>
    <row r="5" spans="1:31" ht="156.75" customHeight="1" x14ac:dyDescent="0.3">
      <c r="A5" s="21"/>
      <c r="B5" s="12" t="s">
        <v>41</v>
      </c>
      <c r="C5" s="12" t="s">
        <v>3</v>
      </c>
      <c r="D5" s="12" t="s">
        <v>120</v>
      </c>
      <c r="E5" s="27" t="s">
        <v>2</v>
      </c>
      <c r="F5" s="12" t="s">
        <v>7</v>
      </c>
      <c r="G5" s="12" t="s">
        <v>8</v>
      </c>
      <c r="H5" s="12" t="s">
        <v>12</v>
      </c>
      <c r="I5" s="12" t="s">
        <v>6</v>
      </c>
      <c r="J5" s="12" t="s">
        <v>38</v>
      </c>
      <c r="K5" s="12"/>
      <c r="L5" s="13">
        <v>10000</v>
      </c>
      <c r="M5" s="13">
        <v>20000</v>
      </c>
      <c r="N5" s="13">
        <v>30000</v>
      </c>
      <c r="O5" s="13">
        <v>40000</v>
      </c>
      <c r="P5" s="13">
        <v>50000</v>
      </c>
      <c r="Q5" s="13">
        <v>60000</v>
      </c>
      <c r="R5" s="13">
        <v>70000</v>
      </c>
      <c r="S5" s="13">
        <v>80000</v>
      </c>
      <c r="T5" s="13">
        <v>90000</v>
      </c>
      <c r="U5" s="13">
        <v>100000</v>
      </c>
      <c r="V5" s="13">
        <v>110000</v>
      </c>
      <c r="W5" s="13">
        <v>120000</v>
      </c>
      <c r="X5" s="13">
        <v>130000</v>
      </c>
      <c r="Y5" s="13">
        <v>140000</v>
      </c>
      <c r="Z5" s="13">
        <v>150000</v>
      </c>
      <c r="AA5" s="13">
        <v>160000</v>
      </c>
      <c r="AB5" s="13">
        <v>170000</v>
      </c>
      <c r="AC5" s="13">
        <v>180000</v>
      </c>
      <c r="AD5" s="13">
        <v>190000</v>
      </c>
      <c r="AE5" s="22">
        <v>200000</v>
      </c>
    </row>
    <row r="6" spans="1:31" x14ac:dyDescent="0.25">
      <c r="A6" s="23" t="s">
        <v>0</v>
      </c>
      <c r="B6" s="4"/>
      <c r="C6" s="4"/>
      <c r="D6" s="4"/>
      <c r="E6" s="4"/>
      <c r="F6" s="4"/>
      <c r="G6" s="4"/>
      <c r="H6" s="4"/>
      <c r="I6" s="4"/>
      <c r="J6" s="4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24"/>
    </row>
    <row r="7" spans="1:31" ht="14.5" x14ac:dyDescent="0.25">
      <c r="A7" s="23" t="s">
        <v>9</v>
      </c>
      <c r="B7" s="10" t="s">
        <v>4</v>
      </c>
      <c r="C7" s="10" t="s">
        <v>4</v>
      </c>
      <c r="D7" s="10" t="s">
        <v>4</v>
      </c>
      <c r="E7" s="10" t="s">
        <v>4</v>
      </c>
      <c r="F7" s="10"/>
      <c r="G7" s="10" t="s">
        <v>4</v>
      </c>
      <c r="H7" s="10" t="s">
        <v>4</v>
      </c>
      <c r="I7" s="10" t="s">
        <v>4</v>
      </c>
      <c r="J7" s="10" t="s">
        <v>4</v>
      </c>
      <c r="K7" s="5"/>
      <c r="L7" s="61">
        <f>Calcul!C10</f>
        <v>1.1553452544086265</v>
      </c>
      <c r="M7" s="61">
        <f>Calcul!C11</f>
        <v>0.57767262720431323</v>
      </c>
      <c r="N7" s="61">
        <f>Calcul!C12</f>
        <v>0.38511508480287543</v>
      </c>
      <c r="O7" s="61">
        <f>Calcul!C13</f>
        <v>0.28883631360215661</v>
      </c>
      <c r="P7" s="61">
        <f>Calcul!C14</f>
        <v>0.22975936936476982</v>
      </c>
      <c r="Q7" s="61">
        <f>Calcul!C15</f>
        <v>0.18600913481666037</v>
      </c>
      <c r="R7" s="61">
        <f>Calcul!C16</f>
        <v>0.15578800275990437</v>
      </c>
      <c r="S7" s="61">
        <f>Calcul!C17</f>
        <v>0.13631450241491633</v>
      </c>
      <c r="T7" s="61">
        <f>Calcul!C18</f>
        <v>0.12116844659103673</v>
      </c>
      <c r="U7" s="61">
        <f>Calcul!C19</f>
        <v>0.10905160193193306</v>
      </c>
      <c r="V7" s="61">
        <f>Calcul!C20</f>
        <v>9.9137819938120958E-2</v>
      </c>
      <c r="W7" s="61">
        <f>Calcul!C21</f>
        <v>9.0876334943277542E-2</v>
      </c>
      <c r="X7" s="61">
        <f>Calcul!C22</f>
        <v>8.388584763994851E-2</v>
      </c>
      <c r="Y7" s="61">
        <f>Calcul!C23</f>
        <v>7.7894001379952185E-2</v>
      </c>
      <c r="Z7" s="61">
        <f>Calcul!C24</f>
        <v>7.2701067954622042E-2</v>
      </c>
      <c r="AA7" s="61">
        <f>Calcul!C25</f>
        <v>6.8157251207458164E-2</v>
      </c>
      <c r="AB7" s="61">
        <f>Calcul!C26</f>
        <v>6.414800113643121E-2</v>
      </c>
      <c r="AC7" s="61">
        <f>Calcul!C27</f>
        <v>6.0584223295518366E-2</v>
      </c>
      <c r="AD7" s="61">
        <f>Calcul!C28</f>
        <v>5.739557996417529E-2</v>
      </c>
      <c r="AE7" s="62">
        <f>Calcul!C29</f>
        <v>5.4525800965966528E-2</v>
      </c>
    </row>
    <row r="8" spans="1:31" ht="14.5" x14ac:dyDescent="0.25">
      <c r="A8" s="23" t="s">
        <v>44</v>
      </c>
      <c r="B8" s="10"/>
      <c r="C8" s="10"/>
      <c r="D8" s="10"/>
      <c r="E8" s="10"/>
      <c r="F8" s="10" t="s">
        <v>4</v>
      </c>
      <c r="G8" s="10"/>
      <c r="H8" s="10"/>
      <c r="I8" s="10"/>
      <c r="J8" s="10"/>
      <c r="K8" s="5"/>
      <c r="L8" s="61">
        <f>Calcul!J10</f>
        <v>0.45844215701336605</v>
      </c>
      <c r="M8" s="61">
        <f>Calcul!J11</f>
        <v>0.22922107850668302</v>
      </c>
      <c r="N8" s="61">
        <f>Calcul!J12</f>
        <v>0.15281405233778869</v>
      </c>
      <c r="O8" s="61">
        <f>Calcul!J13</f>
        <v>0.11461053925334151</v>
      </c>
      <c r="P8" s="61">
        <f>Calcul!J14</f>
        <v>9.1688431402673215E-2</v>
      </c>
      <c r="Q8" s="61">
        <f>Calcul!J15</f>
        <v>7.6407026168894346E-2</v>
      </c>
      <c r="R8" s="61">
        <f>Calcul!J16</f>
        <v>6.5491736716195154E-2</v>
      </c>
      <c r="S8" s="61">
        <f>Calcul!J17</f>
        <v>5.7305269626670756E-2</v>
      </c>
      <c r="T8" s="61">
        <f>Calcul!J18</f>
        <v>5.0938017445929566E-2</v>
      </c>
      <c r="U8" s="61">
        <f>Calcul!J19</f>
        <v>4.5844215701336608E-2</v>
      </c>
      <c r="V8" s="61">
        <f>Calcul!J20</f>
        <v>4.1676559728487828E-2</v>
      </c>
      <c r="W8" s="61">
        <f>Calcul!J21</f>
        <v>3.8203513084447173E-2</v>
      </c>
      <c r="X8" s="61">
        <f>Calcul!J22</f>
        <v>3.5264781308720468E-2</v>
      </c>
      <c r="Y8" s="61">
        <f>Calcul!J23</f>
        <v>3.2745868358097577E-2</v>
      </c>
      <c r="Z8" s="61">
        <f>Calcul!J24</f>
        <v>3.0562810467557738E-2</v>
      </c>
      <c r="AA8" s="61">
        <f>Calcul!J25</f>
        <v>2.8652634813335378E-2</v>
      </c>
      <c r="AB8" s="61">
        <f>Calcul!J26</f>
        <v>2.6967185706668593E-2</v>
      </c>
      <c r="AC8" s="61">
        <f>Calcul!J27</f>
        <v>2.5469008722964783E-2</v>
      </c>
      <c r="AD8" s="61">
        <f>Calcul!J28</f>
        <v>2.4128534579650845E-2</v>
      </c>
      <c r="AE8" s="62">
        <f>Calcul!J29</f>
        <v>2.2922107850668304E-2</v>
      </c>
    </row>
    <row r="9" spans="1:31" ht="14.5" x14ac:dyDescent="0.25">
      <c r="A9" s="23" t="s">
        <v>46</v>
      </c>
      <c r="B9" s="10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/>
      <c r="J9" s="10" t="s">
        <v>4</v>
      </c>
      <c r="K9" s="5"/>
      <c r="L9" s="61">
        <f>Calcul!C56</f>
        <v>2.9160000000000002E-3</v>
      </c>
      <c r="M9" s="61">
        <f>Calcul!C57</f>
        <v>1.4580000000000001E-3</v>
      </c>
      <c r="N9" s="61">
        <f>Calcul!C58</f>
        <v>9.720000000000001E-4</v>
      </c>
      <c r="O9" s="61">
        <f>Calcul!C59</f>
        <v>7.2900000000000005E-4</v>
      </c>
      <c r="P9" s="61">
        <f>Calcul!C60</f>
        <v>5.8320000000000008E-4</v>
      </c>
      <c r="Q9" s="61">
        <f>Calcul!C61</f>
        <v>4.8600000000000005E-4</v>
      </c>
      <c r="R9" s="61">
        <f>Calcul!C62</f>
        <v>4.1657142857142864E-4</v>
      </c>
      <c r="S9" s="61">
        <f>Calcul!C63</f>
        <v>3.6450000000000002E-4</v>
      </c>
      <c r="T9" s="61">
        <f>Calcul!C64</f>
        <v>3.2400000000000001E-4</v>
      </c>
      <c r="U9" s="61">
        <f>Calcul!C65</f>
        <v>2.9160000000000004E-4</v>
      </c>
      <c r="V9" s="61">
        <f>Calcul!C66</f>
        <v>2.650909090909091E-4</v>
      </c>
      <c r="W9" s="61">
        <f>Calcul!C67</f>
        <v>2.4300000000000002E-4</v>
      </c>
      <c r="X9" s="61">
        <f>Calcul!C68</f>
        <v>2.2430769230769233E-4</v>
      </c>
      <c r="Y9" s="61">
        <f>Calcul!C69</f>
        <v>2.0828571428571432E-4</v>
      </c>
      <c r="Z9" s="61">
        <f>Calcul!C70</f>
        <v>1.9440000000000004E-4</v>
      </c>
      <c r="AA9" s="61">
        <f>Calcul!C71</f>
        <v>1.8225000000000001E-4</v>
      </c>
      <c r="AB9" s="61">
        <f>Calcul!C72</f>
        <v>1.715294117647059E-4</v>
      </c>
      <c r="AC9" s="61">
        <f>Calcul!C73</f>
        <v>1.6200000000000001E-4</v>
      </c>
      <c r="AD9" s="61">
        <f>Calcul!C74</f>
        <v>1.5347368421052634E-4</v>
      </c>
      <c r="AE9" s="62">
        <f>Calcul!C75</f>
        <v>1.4580000000000002E-4</v>
      </c>
    </row>
    <row r="10" spans="1:31" ht="14.5" x14ac:dyDescent="0.25">
      <c r="A10" s="23" t="s">
        <v>88</v>
      </c>
      <c r="B10" s="11" t="s">
        <v>4</v>
      </c>
      <c r="C10" s="11" t="s">
        <v>4</v>
      </c>
      <c r="D10" s="11" t="s">
        <v>4</v>
      </c>
      <c r="E10" s="11" t="s">
        <v>4</v>
      </c>
      <c r="F10" s="10"/>
      <c r="G10" s="11"/>
      <c r="H10" s="10"/>
      <c r="I10" s="10"/>
      <c r="J10" s="10" t="s">
        <v>4</v>
      </c>
      <c r="K10" s="5"/>
      <c r="L10" s="61">
        <v>0.1</v>
      </c>
      <c r="M10" s="61">
        <v>0.1</v>
      </c>
      <c r="N10" s="61">
        <v>0.1</v>
      </c>
      <c r="O10" s="61">
        <v>0.1</v>
      </c>
      <c r="P10" s="61">
        <v>0.1</v>
      </c>
      <c r="Q10" s="61">
        <v>0.1</v>
      </c>
      <c r="R10" s="61">
        <v>0.1</v>
      </c>
      <c r="S10" s="61">
        <v>0.1</v>
      </c>
      <c r="T10" s="61">
        <v>0.1</v>
      </c>
      <c r="U10" s="61">
        <v>0.1</v>
      </c>
      <c r="V10" s="61">
        <v>0.1</v>
      </c>
      <c r="W10" s="61">
        <v>0.1</v>
      </c>
      <c r="X10" s="61">
        <v>0.1</v>
      </c>
      <c r="Y10" s="61">
        <v>0.1</v>
      </c>
      <c r="Z10" s="61">
        <v>0.1</v>
      </c>
      <c r="AA10" s="61">
        <v>0.1</v>
      </c>
      <c r="AB10" s="61">
        <v>0.1</v>
      </c>
      <c r="AC10" s="61">
        <v>0.1</v>
      </c>
      <c r="AD10" s="61">
        <v>0.1</v>
      </c>
      <c r="AE10" s="63">
        <v>0.1</v>
      </c>
    </row>
    <row r="11" spans="1:31" ht="14.5" x14ac:dyDescent="0.25">
      <c r="A11" s="23" t="s">
        <v>47</v>
      </c>
      <c r="B11" s="11" t="s">
        <v>4</v>
      </c>
      <c r="C11" s="11" t="s">
        <v>4</v>
      </c>
      <c r="D11" s="11" t="s">
        <v>4</v>
      </c>
      <c r="E11" s="11" t="s">
        <v>4</v>
      </c>
      <c r="F11" s="11" t="s">
        <v>10</v>
      </c>
      <c r="G11" s="11" t="s">
        <v>4</v>
      </c>
      <c r="H11" s="11" t="s">
        <v>4</v>
      </c>
      <c r="I11" s="11" t="s">
        <v>4</v>
      </c>
      <c r="J11" s="10" t="s">
        <v>4</v>
      </c>
      <c r="K11" s="5"/>
      <c r="L11" s="61">
        <v>7.6499999999999999E-2</v>
      </c>
      <c r="M11" s="61">
        <v>7.6499999999999999E-2</v>
      </c>
      <c r="N11" s="61">
        <v>7.6499999999999999E-2</v>
      </c>
      <c r="O11" s="61">
        <v>7.6499999999999999E-2</v>
      </c>
      <c r="P11" s="61">
        <v>7.6499999999999999E-2</v>
      </c>
      <c r="Q11" s="61">
        <v>7.6499999999999999E-2</v>
      </c>
      <c r="R11" s="61">
        <v>7.6499999999999999E-2</v>
      </c>
      <c r="S11" s="61">
        <v>7.6499999999999999E-2</v>
      </c>
      <c r="T11" s="61">
        <f>Calcul!F98</f>
        <v>7.6499999999999999E-2</v>
      </c>
      <c r="U11" s="61">
        <f>Calcul!F99</f>
        <v>7.6499999999999999E-2</v>
      </c>
      <c r="V11" s="61">
        <f>Calcul!F100</f>
        <v>7.6499999999999999E-2</v>
      </c>
      <c r="W11" s="61">
        <f>Calcul!F101</f>
        <v>7.6499999999999999E-2</v>
      </c>
      <c r="X11" s="61">
        <f>Calcul!F102</f>
        <v>7.6499999999999999E-2</v>
      </c>
      <c r="Y11" s="61">
        <f>Calcul!F103</f>
        <v>7.6499999999999999E-2</v>
      </c>
      <c r="Z11" s="61">
        <f>Calcul!F104</f>
        <v>7.5259999999999994E-2</v>
      </c>
      <c r="AA11" s="61">
        <f>Calcul!F105</f>
        <v>7.1462499999999998E-2</v>
      </c>
      <c r="AB11" s="61">
        <f>Calcul!F106</f>
        <v>6.8111764705882358E-2</v>
      </c>
      <c r="AC11" s="61">
        <f>Calcul!F107</f>
        <v>6.5133333333333335E-2</v>
      </c>
      <c r="AD11" s="61">
        <f>Calcul!F108</f>
        <v>6.2468421052631576E-2</v>
      </c>
      <c r="AE11" s="62">
        <f>Calcul!F109</f>
        <v>6.0069999999999998E-2</v>
      </c>
    </row>
    <row r="12" spans="1:31" ht="14.5" x14ac:dyDescent="0.25">
      <c r="A12" s="23" t="s">
        <v>48</v>
      </c>
      <c r="B12" s="11" t="s">
        <v>4</v>
      </c>
      <c r="C12" s="11" t="s">
        <v>4</v>
      </c>
      <c r="D12" s="11" t="s">
        <v>4</v>
      </c>
      <c r="E12" s="11" t="s">
        <v>4</v>
      </c>
      <c r="F12" s="11" t="s">
        <v>4</v>
      </c>
      <c r="G12" s="11" t="s">
        <v>4</v>
      </c>
      <c r="H12" s="11" t="s">
        <v>4</v>
      </c>
      <c r="I12" s="11"/>
      <c r="J12" s="10" t="s">
        <v>4</v>
      </c>
      <c r="K12" s="5"/>
      <c r="L12" s="61">
        <f>Calcul!C150</f>
        <v>4.6194505612678051E-2</v>
      </c>
      <c r="M12" s="61">
        <f>Calcul!C151</f>
        <v>2.3097252806339025E-2</v>
      </c>
      <c r="N12" s="61">
        <f>Calcul!C152</f>
        <v>1.539816853755935E-2</v>
      </c>
      <c r="O12" s="61">
        <f>Calcul!C153</f>
        <v>1.1548626403169513E-2</v>
      </c>
      <c r="P12" s="61">
        <f>Calcul!C154</f>
        <v>9.2389011225356109E-3</v>
      </c>
      <c r="Q12" s="61">
        <f>Calcul!C155</f>
        <v>7.6990842687796749E-3</v>
      </c>
      <c r="R12" s="61">
        <f>Calcul!C156</f>
        <v>6.599215087525436E-3</v>
      </c>
      <c r="S12" s="61">
        <f>Calcul!C157</f>
        <v>5.7743132015847564E-3</v>
      </c>
      <c r="T12" s="61">
        <f>Calcul!C158</f>
        <v>5.1327228458531169E-3</v>
      </c>
      <c r="U12" s="61">
        <f>Calcul!C159</f>
        <v>4.6194505612678054E-3</v>
      </c>
      <c r="V12" s="61">
        <f>Calcul!C160</f>
        <v>4.1995005102434596E-3</v>
      </c>
      <c r="W12" s="61">
        <f>Calcul!C161</f>
        <v>3.8495421343898374E-3</v>
      </c>
      <c r="X12" s="61">
        <f>Calcul!C162</f>
        <v>3.5534235086675425E-3</v>
      </c>
      <c r="Y12" s="61">
        <f>Calcul!C163</f>
        <v>3.299607543762718E-3</v>
      </c>
      <c r="Z12" s="61">
        <f>Calcul!C164</f>
        <v>3.0796337075118703E-3</v>
      </c>
      <c r="AA12" s="61">
        <f>Calcul!C165</f>
        <v>2.8871566007923782E-3</v>
      </c>
      <c r="AB12" s="61">
        <f>Calcul!C166</f>
        <v>2.717323859569297E-3</v>
      </c>
      <c r="AC12" s="61">
        <f>Calcul!C167</f>
        <v>2.5663614229265584E-3</v>
      </c>
      <c r="AD12" s="61">
        <f>Calcul!C168</f>
        <v>2.4312897690883183E-3</v>
      </c>
      <c r="AE12" s="62">
        <f>Calcul!C169</f>
        <v>2.3097252806339027E-3</v>
      </c>
    </row>
    <row r="13" spans="1:31" ht="14.5" x14ac:dyDescent="0.25">
      <c r="A13" s="23" t="s">
        <v>49</v>
      </c>
      <c r="B13" s="11" t="s">
        <v>4</v>
      </c>
      <c r="C13" s="10"/>
      <c r="D13" s="11" t="s">
        <v>4</v>
      </c>
      <c r="E13" s="10"/>
      <c r="F13" s="10"/>
      <c r="G13" s="10"/>
      <c r="H13" s="10"/>
      <c r="I13" s="10"/>
      <c r="J13" s="10" t="s">
        <v>4</v>
      </c>
      <c r="K13" s="5"/>
      <c r="L13" s="64">
        <f>Calcul!E187</f>
        <v>5.4400000000000004E-3</v>
      </c>
      <c r="M13" s="61">
        <f>Calcul!E188</f>
        <v>5.4400000000000004E-3</v>
      </c>
      <c r="N13" s="61">
        <f>Calcul!E189</f>
        <v>5.4399999999999995E-3</v>
      </c>
      <c r="O13" s="61">
        <f>Calcul!E190</f>
        <v>5.4400000000000004E-3</v>
      </c>
      <c r="P13" s="61">
        <f>Calcul!E191</f>
        <v>5.4400000000000004E-3</v>
      </c>
      <c r="Q13" s="61">
        <f>Calcul!E192</f>
        <v>5.4399999999999995E-3</v>
      </c>
      <c r="R13" s="61">
        <f>Calcul!E193</f>
        <v>5.2690285714285714E-3</v>
      </c>
      <c r="S13" s="61">
        <f>Calcul!E194</f>
        <v>4.6103999999999997E-3</v>
      </c>
      <c r="T13" s="61">
        <f>Calcul!E195</f>
        <v>4.0981333333333335E-3</v>
      </c>
      <c r="U13" s="61">
        <f>Calcul!E196</f>
        <v>3.6883200000000001E-3</v>
      </c>
      <c r="V13" s="61">
        <f>Calcul!E197</f>
        <v>3.3530181818181817E-3</v>
      </c>
      <c r="W13" s="61">
        <f>Calcul!E198</f>
        <v>3.0736000000000001E-3</v>
      </c>
      <c r="X13" s="61">
        <f>Calcul!E199</f>
        <v>2.8371692307692306E-3</v>
      </c>
      <c r="Y13" s="61">
        <f>Calcul!E200</f>
        <v>2.6345142857142857E-3</v>
      </c>
      <c r="Z13" s="61">
        <f>Calcul!E201</f>
        <v>2.4588800000000001E-3</v>
      </c>
      <c r="AA13" s="61">
        <f>Calcul!E202</f>
        <v>2.3051999999999999E-3</v>
      </c>
      <c r="AB13" s="61">
        <f>Calcul!E203</f>
        <v>2.1695999999999998E-3</v>
      </c>
      <c r="AC13" s="61">
        <f>Calcul!E204</f>
        <v>2.0490666666666667E-3</v>
      </c>
      <c r="AD13" s="61">
        <f>Calcul!E205</f>
        <v>1.9412210526315789E-3</v>
      </c>
      <c r="AE13" s="62">
        <f>Calcul!E206</f>
        <v>1.8441600000000001E-3</v>
      </c>
    </row>
    <row r="14" spans="1:31" ht="14.5" x14ac:dyDescent="0.25">
      <c r="A14" s="23" t="s">
        <v>50</v>
      </c>
      <c r="B14" s="10"/>
      <c r="C14" s="10"/>
      <c r="D14" s="10"/>
      <c r="E14" s="10" t="s">
        <v>4</v>
      </c>
      <c r="F14" s="10"/>
      <c r="G14" s="10"/>
      <c r="H14" s="10"/>
      <c r="I14" s="10"/>
      <c r="J14" s="10"/>
      <c r="K14" s="5"/>
      <c r="L14" s="64">
        <f>Calcul!P187</f>
        <v>1.355E-2</v>
      </c>
      <c r="M14" s="64">
        <f>Calcul!P188</f>
        <v>1.355E-2</v>
      </c>
      <c r="N14" s="64">
        <f>Calcul!P189</f>
        <v>1.3008E-2</v>
      </c>
      <c r="O14" s="64">
        <f>Calcul!P190</f>
        <v>9.7560000000000008E-3</v>
      </c>
      <c r="P14" s="64">
        <f>Calcul!P191</f>
        <v>7.8047999999999998E-3</v>
      </c>
      <c r="Q14" s="64">
        <f>Calcul!P192</f>
        <v>6.5040000000000002E-3</v>
      </c>
      <c r="R14" s="64">
        <f>Calcul!P193</f>
        <v>5.5748571428571427E-3</v>
      </c>
      <c r="S14" s="64">
        <f>Calcul!P194</f>
        <v>4.8780000000000004E-3</v>
      </c>
      <c r="T14" s="64">
        <f>Calcul!P195</f>
        <v>4.3360000000000004E-3</v>
      </c>
      <c r="U14" s="64">
        <f>Calcul!P196</f>
        <v>3.9023999999999999E-3</v>
      </c>
      <c r="V14" s="64">
        <f>Calcul!P197</f>
        <v>3.5476363636363639E-3</v>
      </c>
      <c r="W14" s="64">
        <f>Calcul!P198</f>
        <v>3.2520000000000001E-3</v>
      </c>
      <c r="X14" s="64">
        <f>Calcul!P199</f>
        <v>3.001846153846154E-3</v>
      </c>
      <c r="Y14" s="64">
        <f>Calcul!P200</f>
        <v>2.7874285714285713E-3</v>
      </c>
      <c r="Z14" s="64">
        <f>Calcul!P201</f>
        <v>2.6015999999999999E-3</v>
      </c>
      <c r="AA14" s="64">
        <f>Calcul!P202</f>
        <v>2.4390000000000002E-3</v>
      </c>
      <c r="AB14" s="64">
        <f>Calcul!P203</f>
        <v>2.2955294117647058E-3</v>
      </c>
      <c r="AC14" s="64">
        <f>Calcul!P204</f>
        <v>2.1680000000000002E-3</v>
      </c>
      <c r="AD14" s="64">
        <f>Calcul!P205</f>
        <v>2.0538947368421052E-3</v>
      </c>
      <c r="AE14" s="63">
        <f>Calcul!P206</f>
        <v>1.9511999999999999E-3</v>
      </c>
    </row>
    <row r="15" spans="1:31" ht="14.5" x14ac:dyDescent="0.25">
      <c r="A15" s="23" t="s">
        <v>51</v>
      </c>
      <c r="B15" s="10"/>
      <c r="C15" s="10"/>
      <c r="D15" s="10"/>
      <c r="E15" s="10"/>
      <c r="F15" s="10"/>
      <c r="G15" s="10"/>
      <c r="H15" s="10" t="s">
        <v>4</v>
      </c>
      <c r="I15" s="10"/>
      <c r="J15" s="10"/>
      <c r="K15" s="5"/>
      <c r="L15" s="64">
        <f>Calcul!J187</f>
        <v>3.0300000000000001E-3</v>
      </c>
      <c r="M15" s="61">
        <f>Calcul!J188</f>
        <v>3.0300000000000001E-3</v>
      </c>
      <c r="N15" s="61">
        <f>Calcul!J189</f>
        <v>3.0299999999999997E-3</v>
      </c>
      <c r="O15" s="61">
        <f>Calcul!J190</f>
        <v>3.0300000000000001E-3</v>
      </c>
      <c r="P15" s="61">
        <f>Calcul!J191</f>
        <v>3.0300000000000001E-3</v>
      </c>
      <c r="Q15" s="61">
        <f>Calcul!J192</f>
        <v>3.0299999999999997E-3</v>
      </c>
      <c r="R15" s="61">
        <f>Calcul!J193</f>
        <v>3.0299999999999997E-3</v>
      </c>
      <c r="S15" s="61">
        <f>Calcul!J194</f>
        <v>2.7269999999999998E-3</v>
      </c>
      <c r="T15" s="61">
        <f>Calcul!J195</f>
        <v>2.4239999999999999E-3</v>
      </c>
      <c r="U15" s="61">
        <f>Calcul!J196</f>
        <v>2.1816000000000001E-3</v>
      </c>
      <c r="V15" s="61">
        <f>Calcul!J197</f>
        <v>1.9832727272727272E-3</v>
      </c>
      <c r="W15" s="61">
        <f>Calcul!J198</f>
        <v>1.818E-3</v>
      </c>
      <c r="X15" s="61">
        <f>Calcul!J199</f>
        <v>1.6781538461538461E-3</v>
      </c>
      <c r="Y15" s="61">
        <f>Calcul!J200</f>
        <v>1.5582857142857143E-3</v>
      </c>
      <c r="Z15" s="61">
        <f>Calcul!J201</f>
        <v>1.4544E-3</v>
      </c>
      <c r="AA15" s="61">
        <f>Calcul!J202</f>
        <v>1.3634999999999999E-3</v>
      </c>
      <c r="AB15" s="61">
        <f>Calcul!J203</f>
        <v>1.2832941176470589E-3</v>
      </c>
      <c r="AC15" s="61">
        <f>Calcul!J204</f>
        <v>1.212E-3</v>
      </c>
      <c r="AD15" s="61">
        <f>Calcul!J205</f>
        <v>1.1482105263157895E-3</v>
      </c>
      <c r="AE15" s="62">
        <f>Calcul!J206</f>
        <v>1.0908000000000001E-3</v>
      </c>
    </row>
    <row r="16" spans="1:31" ht="14.5" x14ac:dyDescent="0.25">
      <c r="A16" s="23" t="s">
        <v>76</v>
      </c>
      <c r="B16" s="10" t="s">
        <v>4</v>
      </c>
      <c r="C16" s="10" t="s">
        <v>4</v>
      </c>
      <c r="D16" s="10" t="s">
        <v>4</v>
      </c>
      <c r="E16" s="10" t="s">
        <v>4</v>
      </c>
      <c r="F16" s="10"/>
      <c r="G16" s="10" t="s">
        <v>4</v>
      </c>
      <c r="H16" s="10" t="s">
        <v>4</v>
      </c>
      <c r="I16" s="10" t="s">
        <v>4</v>
      </c>
      <c r="J16" s="10" t="s">
        <v>4</v>
      </c>
      <c r="K16" s="5"/>
      <c r="L16" s="64">
        <f>Calcul!C229</f>
        <v>1.2731999999999999E-2</v>
      </c>
      <c r="M16" s="61">
        <f>Calcul!C230</f>
        <v>6.3659999999999993E-3</v>
      </c>
      <c r="N16" s="61">
        <f>Calcul!C231</f>
        <v>4.2439999999999995E-3</v>
      </c>
      <c r="O16" s="61">
        <f>Calcul!C232</f>
        <v>3.1829999999999996E-3</v>
      </c>
      <c r="P16" s="61">
        <f>Calcul!C233</f>
        <v>2.5463999999999999E-3</v>
      </c>
      <c r="Q16" s="61">
        <f>Calcul!C234</f>
        <v>2.1219999999999998E-3</v>
      </c>
      <c r="R16" s="61">
        <f>Calcul!C235</f>
        <v>1.8188571428571427E-3</v>
      </c>
      <c r="S16" s="61">
        <f>Calcul!C236</f>
        <v>1.5914999999999998E-3</v>
      </c>
      <c r="T16" s="61">
        <f>Calcul!C237</f>
        <v>1.4146666666666665E-3</v>
      </c>
      <c r="U16" s="61">
        <f>Calcul!C238</f>
        <v>1.2731999999999999E-3</v>
      </c>
      <c r="V16" s="61">
        <f>Calcul!C239</f>
        <v>1.1574545454545455E-3</v>
      </c>
      <c r="W16" s="61">
        <f>Calcul!C240</f>
        <v>1.0609999999999999E-3</v>
      </c>
      <c r="X16" s="61">
        <f>Calcul!C241</f>
        <v>9.7938461538461525E-4</v>
      </c>
      <c r="Y16" s="61">
        <f>Calcul!C242</f>
        <v>9.0942857142857134E-4</v>
      </c>
      <c r="Z16" s="61">
        <f>Calcul!C243</f>
        <v>8.4879999999999992E-4</v>
      </c>
      <c r="AA16" s="61">
        <f>Calcul!C244</f>
        <v>7.9574999999999991E-4</v>
      </c>
      <c r="AB16" s="61">
        <f>Calcul!C245</f>
        <v>7.4894117647058818E-4</v>
      </c>
      <c r="AC16" s="61">
        <f>Calcul!C246</f>
        <v>7.0733333333333325E-4</v>
      </c>
      <c r="AD16" s="61">
        <f>Calcul!C247</f>
        <v>6.7010526315789472E-4</v>
      </c>
      <c r="AE16" s="62">
        <f>Calcul!C248</f>
        <v>6.3659999999999997E-4</v>
      </c>
    </row>
    <row r="17" spans="1:31" ht="17.25" customHeight="1" x14ac:dyDescent="0.25">
      <c r="A17" s="23" t="s">
        <v>75</v>
      </c>
      <c r="B17" s="10" t="s">
        <v>4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 t="s">
        <v>4</v>
      </c>
      <c r="K17" s="5"/>
      <c r="L17" s="61">
        <f>Calcul!$B$263</f>
        <v>1.95E-2</v>
      </c>
      <c r="M17" s="61">
        <f>Calcul!$B$263</f>
        <v>1.95E-2</v>
      </c>
      <c r="N17" s="61">
        <f>Calcul!$B$263</f>
        <v>1.95E-2</v>
      </c>
      <c r="O17" s="61">
        <f>Calcul!$B$263</f>
        <v>1.95E-2</v>
      </c>
      <c r="P17" s="61">
        <f>Calcul!$B$263</f>
        <v>1.95E-2</v>
      </c>
      <c r="Q17" s="61">
        <f>Calcul!$B$263</f>
        <v>1.95E-2</v>
      </c>
      <c r="R17" s="61">
        <f>Calcul!$B$263</f>
        <v>1.95E-2</v>
      </c>
      <c r="S17" s="61">
        <f>Calcul!$B$263</f>
        <v>1.95E-2</v>
      </c>
      <c r="T17" s="61">
        <f>Calcul!$B$263</f>
        <v>1.95E-2</v>
      </c>
      <c r="U17" s="61">
        <f>Calcul!$B$263</f>
        <v>1.95E-2</v>
      </c>
      <c r="V17" s="61">
        <f>Calcul!$B$263</f>
        <v>1.95E-2</v>
      </c>
      <c r="W17" s="61">
        <f>Calcul!$B$263</f>
        <v>1.95E-2</v>
      </c>
      <c r="X17" s="61">
        <f>Calcul!$B$263</f>
        <v>1.95E-2</v>
      </c>
      <c r="Y17" s="61">
        <f>Calcul!$B$263</f>
        <v>1.95E-2</v>
      </c>
      <c r="Z17" s="61">
        <f>Calcul!$B$263</f>
        <v>1.95E-2</v>
      </c>
      <c r="AA17" s="61">
        <f>Calcul!$B$263</f>
        <v>1.95E-2</v>
      </c>
      <c r="AB17" s="61">
        <f>Calcul!$B$263</f>
        <v>1.95E-2</v>
      </c>
      <c r="AC17" s="61">
        <f>Calcul!$B$263</f>
        <v>1.95E-2</v>
      </c>
      <c r="AD17" s="61">
        <f>Calcul!$B$263</f>
        <v>1.95E-2</v>
      </c>
      <c r="AE17" s="62">
        <f>Calcul!$B$263</f>
        <v>1.95E-2</v>
      </c>
    </row>
    <row r="18" spans="1:31" ht="6" customHeight="1" x14ac:dyDescent="0.25">
      <c r="A18" s="23"/>
      <c r="B18" s="109"/>
      <c r="C18" s="109"/>
      <c r="D18" s="109"/>
      <c r="E18" s="109"/>
      <c r="F18" s="109"/>
      <c r="G18" s="109"/>
      <c r="H18" s="109"/>
      <c r="I18" s="109"/>
      <c r="J18" s="109"/>
      <c r="K18" s="110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2"/>
    </row>
    <row r="19" spans="1:31" ht="15.75" customHeight="1" x14ac:dyDescent="0.25">
      <c r="A19" s="114" t="s">
        <v>82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  <c r="L19" s="117">
        <f t="shared" ref="L19:AE19" si="0">L10+L11+L17</f>
        <v>0.19599999999999998</v>
      </c>
      <c r="M19" s="117">
        <f t="shared" si="0"/>
        <v>0.19599999999999998</v>
      </c>
      <c r="N19" s="117">
        <f t="shared" si="0"/>
        <v>0.19599999999999998</v>
      </c>
      <c r="O19" s="117">
        <f t="shared" si="0"/>
        <v>0.19599999999999998</v>
      </c>
      <c r="P19" s="117">
        <f t="shared" si="0"/>
        <v>0.19599999999999998</v>
      </c>
      <c r="Q19" s="117">
        <f t="shared" si="0"/>
        <v>0.19599999999999998</v>
      </c>
      <c r="R19" s="117">
        <f t="shared" si="0"/>
        <v>0.19599999999999998</v>
      </c>
      <c r="S19" s="117">
        <f t="shared" si="0"/>
        <v>0.19599999999999998</v>
      </c>
      <c r="T19" s="117">
        <f t="shared" si="0"/>
        <v>0.19599999999999998</v>
      </c>
      <c r="U19" s="117">
        <f t="shared" si="0"/>
        <v>0.19599999999999998</v>
      </c>
      <c r="V19" s="117">
        <f t="shared" si="0"/>
        <v>0.19599999999999998</v>
      </c>
      <c r="W19" s="117">
        <f t="shared" si="0"/>
        <v>0.19599999999999998</v>
      </c>
      <c r="X19" s="117">
        <f t="shared" si="0"/>
        <v>0.19599999999999998</v>
      </c>
      <c r="Y19" s="117">
        <f t="shared" si="0"/>
        <v>0.19599999999999998</v>
      </c>
      <c r="Z19" s="117">
        <f t="shared" si="0"/>
        <v>0.19475999999999999</v>
      </c>
      <c r="AA19" s="117">
        <f t="shared" si="0"/>
        <v>0.19096250000000001</v>
      </c>
      <c r="AB19" s="117">
        <f t="shared" si="0"/>
        <v>0.18761176470588234</v>
      </c>
      <c r="AC19" s="117">
        <f t="shared" si="0"/>
        <v>0.18463333333333334</v>
      </c>
      <c r="AD19" s="117">
        <f t="shared" si="0"/>
        <v>0.18196842105263158</v>
      </c>
      <c r="AE19" s="108">
        <f t="shared" si="0"/>
        <v>0.17956999999999998</v>
      </c>
    </row>
    <row r="20" spans="1:31" ht="17.25" customHeight="1" x14ac:dyDescent="0.25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AE20" s="113"/>
    </row>
    <row r="21" spans="1:31" ht="20.25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4"/>
      <c r="K21" s="124"/>
      <c r="L21" s="131" t="s">
        <v>42</v>
      </c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2"/>
    </row>
    <row r="22" spans="1:31" ht="15.75" customHeight="1" x14ac:dyDescent="0.25">
      <c r="A22" s="25" t="s">
        <v>39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9">
        <f t="shared" ref="L22:AE22" si="1">L7+L9+L10+L11+L12+L13+L17+L16</f>
        <v>1.4186277600213044</v>
      </c>
      <c r="M22" s="9">
        <f t="shared" si="1"/>
        <v>0.81003388001065213</v>
      </c>
      <c r="N22" s="9">
        <f t="shared" si="1"/>
        <v>0.60716925334043481</v>
      </c>
      <c r="O22" s="9">
        <f t="shared" si="1"/>
        <v>0.50573694000532621</v>
      </c>
      <c r="P22" s="9">
        <f t="shared" si="1"/>
        <v>0.44356787048730545</v>
      </c>
      <c r="Q22" s="9">
        <f t="shared" si="1"/>
        <v>0.39775621908544007</v>
      </c>
      <c r="R22" s="9">
        <f t="shared" si="1"/>
        <v>0.36589167499028696</v>
      </c>
      <c r="S22" s="9">
        <f t="shared" si="1"/>
        <v>0.34465521561650114</v>
      </c>
      <c r="T22" s="9">
        <f t="shared" si="1"/>
        <v>0.32813796943688989</v>
      </c>
      <c r="U22" s="9">
        <f t="shared" si="1"/>
        <v>0.31492417249320087</v>
      </c>
      <c r="V22" s="9">
        <f t="shared" si="1"/>
        <v>0.30411288408472809</v>
      </c>
      <c r="W22" s="9">
        <f t="shared" si="1"/>
        <v>0.29510347707766738</v>
      </c>
      <c r="X22" s="9">
        <f t="shared" si="1"/>
        <v>0.28748013268707762</v>
      </c>
      <c r="Y22" s="9">
        <f t="shared" si="1"/>
        <v>0.28094583749514351</v>
      </c>
      <c r="Z22" s="9">
        <f t="shared" si="1"/>
        <v>0.27404278166213392</v>
      </c>
      <c r="AA22" s="9">
        <f t="shared" si="1"/>
        <v>0.26529010780825052</v>
      </c>
      <c r="AB22" s="9">
        <f t="shared" si="1"/>
        <v>0.25756716029011817</v>
      </c>
      <c r="AC22" s="9">
        <f t="shared" si="1"/>
        <v>0.25070231805177828</v>
      </c>
      <c r="AD22" s="9">
        <f t="shared" si="1"/>
        <v>0.24456009078589519</v>
      </c>
      <c r="AE22" s="94">
        <f t="shared" si="1"/>
        <v>0.23903208624660044</v>
      </c>
    </row>
    <row r="23" spans="1:31" ht="15.75" customHeight="1" x14ac:dyDescent="0.25">
      <c r="A23" s="25" t="s">
        <v>3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9">
        <f t="shared" ref="L23:AE23" si="2">L7+L9+L10+L11+L12+L17+L16</f>
        <v>1.4131877600213045</v>
      </c>
      <c r="M23" s="9">
        <f t="shared" si="2"/>
        <v>0.80459388001065213</v>
      </c>
      <c r="N23" s="9">
        <f t="shared" si="2"/>
        <v>0.60172925334043481</v>
      </c>
      <c r="O23" s="9">
        <f t="shared" si="2"/>
        <v>0.50029694000532621</v>
      </c>
      <c r="P23" s="9">
        <f t="shared" si="2"/>
        <v>0.43812787048730545</v>
      </c>
      <c r="Q23" s="9">
        <f t="shared" si="2"/>
        <v>0.39231621908544007</v>
      </c>
      <c r="R23" s="9">
        <f t="shared" si="2"/>
        <v>0.36062264641885838</v>
      </c>
      <c r="S23" s="9">
        <f t="shared" si="2"/>
        <v>0.34004481561650113</v>
      </c>
      <c r="T23" s="9">
        <f t="shared" si="2"/>
        <v>0.32403983610355658</v>
      </c>
      <c r="U23" s="9">
        <f t="shared" si="2"/>
        <v>0.31123585249320085</v>
      </c>
      <c r="V23" s="9">
        <f t="shared" si="2"/>
        <v>0.30075986590290993</v>
      </c>
      <c r="W23" s="9">
        <f t="shared" si="2"/>
        <v>0.29202987707766737</v>
      </c>
      <c r="X23" s="9">
        <f t="shared" si="2"/>
        <v>0.28464296345630841</v>
      </c>
      <c r="Y23" s="9">
        <f t="shared" si="2"/>
        <v>0.27831132320942925</v>
      </c>
      <c r="Z23" s="9">
        <f t="shared" si="2"/>
        <v>0.27158390166213392</v>
      </c>
      <c r="AA23" s="9">
        <f t="shared" si="2"/>
        <v>0.26298490780825051</v>
      </c>
      <c r="AB23" s="9">
        <f t="shared" si="2"/>
        <v>0.25539756029011818</v>
      </c>
      <c r="AC23" s="9">
        <f t="shared" si="2"/>
        <v>0.24865325138511163</v>
      </c>
      <c r="AD23" s="9">
        <f t="shared" si="2"/>
        <v>0.2426188697332636</v>
      </c>
      <c r="AE23" s="94">
        <f t="shared" si="2"/>
        <v>0.23718792624660043</v>
      </c>
    </row>
    <row r="24" spans="1:31" ht="54.75" customHeight="1" x14ac:dyDescent="0.25">
      <c r="A24" s="28" t="s">
        <v>14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9">
        <f t="shared" ref="L24:AE24" si="3">L7+L9+L10+L11+L12+L13+L17+L16</f>
        <v>1.4186277600213044</v>
      </c>
      <c r="M24" s="9">
        <f t="shared" si="3"/>
        <v>0.81003388001065213</v>
      </c>
      <c r="N24" s="9">
        <f t="shared" si="3"/>
        <v>0.60716925334043481</v>
      </c>
      <c r="O24" s="9">
        <f t="shared" si="3"/>
        <v>0.50573694000532621</v>
      </c>
      <c r="P24" s="9">
        <f t="shared" si="3"/>
        <v>0.44356787048730545</v>
      </c>
      <c r="Q24" s="9">
        <f t="shared" si="3"/>
        <v>0.39775621908544007</v>
      </c>
      <c r="R24" s="9">
        <f t="shared" si="3"/>
        <v>0.36589167499028696</v>
      </c>
      <c r="S24" s="9">
        <f t="shared" si="3"/>
        <v>0.34465521561650114</v>
      </c>
      <c r="T24" s="9">
        <f t="shared" si="3"/>
        <v>0.32813796943688989</v>
      </c>
      <c r="U24" s="9">
        <f t="shared" si="3"/>
        <v>0.31492417249320087</v>
      </c>
      <c r="V24" s="9">
        <f t="shared" si="3"/>
        <v>0.30411288408472809</v>
      </c>
      <c r="W24" s="9">
        <f t="shared" si="3"/>
        <v>0.29510347707766738</v>
      </c>
      <c r="X24" s="9">
        <f t="shared" si="3"/>
        <v>0.28748013268707762</v>
      </c>
      <c r="Y24" s="9">
        <f t="shared" si="3"/>
        <v>0.28094583749514351</v>
      </c>
      <c r="Z24" s="9">
        <f t="shared" si="3"/>
        <v>0.27404278166213392</v>
      </c>
      <c r="AA24" s="9">
        <f t="shared" si="3"/>
        <v>0.26529010780825052</v>
      </c>
      <c r="AB24" s="9">
        <f t="shared" si="3"/>
        <v>0.25756716029011817</v>
      </c>
      <c r="AC24" s="9">
        <f t="shared" si="3"/>
        <v>0.25070231805177828</v>
      </c>
      <c r="AD24" s="9">
        <f t="shared" si="3"/>
        <v>0.24456009078589519</v>
      </c>
      <c r="AE24" s="94">
        <f t="shared" si="3"/>
        <v>0.23903208624660044</v>
      </c>
    </row>
    <row r="25" spans="1:31" s="60" customFormat="1" ht="15.75" customHeight="1" x14ac:dyDescent="0.25">
      <c r="A25" s="75" t="s">
        <v>2</v>
      </c>
      <c r="B25" s="76"/>
      <c r="C25" s="76"/>
      <c r="D25" s="76"/>
      <c r="E25" s="76"/>
      <c r="F25" s="76"/>
      <c r="G25" s="76"/>
      <c r="H25" s="76"/>
      <c r="I25" s="76"/>
      <c r="J25" s="76"/>
      <c r="K25" s="77"/>
      <c r="L25" s="78">
        <f t="shared" ref="L25:AE25" si="4">L7+L9+L10+L11+L12+L14+L17+L16</f>
        <v>1.4267377600213045</v>
      </c>
      <c r="M25" s="78">
        <f t="shared" si="4"/>
        <v>0.81814388001065208</v>
      </c>
      <c r="N25" s="78">
        <f t="shared" si="4"/>
        <v>0.61473725334043483</v>
      </c>
      <c r="O25" s="78">
        <f t="shared" si="4"/>
        <v>0.51005294000532619</v>
      </c>
      <c r="P25" s="78">
        <f t="shared" si="4"/>
        <v>0.44593267048730545</v>
      </c>
      <c r="Q25" s="78">
        <f t="shared" si="4"/>
        <v>0.39882021908544008</v>
      </c>
      <c r="R25" s="78">
        <f t="shared" si="4"/>
        <v>0.36619750356171554</v>
      </c>
      <c r="S25" s="78">
        <f t="shared" si="4"/>
        <v>0.34492281561650112</v>
      </c>
      <c r="T25" s="78">
        <f t="shared" si="4"/>
        <v>0.32837583610355658</v>
      </c>
      <c r="U25" s="78">
        <f t="shared" si="4"/>
        <v>0.31513825249320082</v>
      </c>
      <c r="V25" s="78">
        <f t="shared" si="4"/>
        <v>0.30430750226654629</v>
      </c>
      <c r="W25" s="78">
        <f t="shared" si="4"/>
        <v>0.29528187707766734</v>
      </c>
      <c r="X25" s="78">
        <f t="shared" si="4"/>
        <v>0.28764480961015454</v>
      </c>
      <c r="Y25" s="78">
        <f t="shared" si="4"/>
        <v>0.2810987517808578</v>
      </c>
      <c r="Z25" s="78">
        <f t="shared" si="4"/>
        <v>0.2741855016621339</v>
      </c>
      <c r="AA25" s="78">
        <f t="shared" si="4"/>
        <v>0.26542390780825054</v>
      </c>
      <c r="AB25" s="78">
        <f t="shared" si="4"/>
        <v>0.25769308970188287</v>
      </c>
      <c r="AC25" s="78">
        <f t="shared" si="4"/>
        <v>0.25082125138511163</v>
      </c>
      <c r="AD25" s="78">
        <f t="shared" si="4"/>
        <v>0.24467276447010572</v>
      </c>
      <c r="AE25" s="95">
        <f t="shared" si="4"/>
        <v>0.23913912624660041</v>
      </c>
    </row>
    <row r="26" spans="1:31" ht="15.75" customHeight="1" x14ac:dyDescent="0.25">
      <c r="A26" s="23" t="s">
        <v>7</v>
      </c>
      <c r="B26" s="29" t="s">
        <v>78</v>
      </c>
      <c r="C26" s="4"/>
      <c r="D26" s="4"/>
      <c r="E26" s="4"/>
      <c r="F26" s="4"/>
      <c r="G26" s="4"/>
      <c r="H26" s="4"/>
      <c r="I26" s="4"/>
      <c r="J26" s="4"/>
      <c r="K26" s="5"/>
      <c r="L26" s="9">
        <f>L8+L9+L12+L17</f>
        <v>0.527052662626044</v>
      </c>
      <c r="M26" s="9">
        <f t="shared" ref="L26:AE26" si="5">M8+M9+M12+M17</f>
        <v>0.27327633131302204</v>
      </c>
      <c r="N26" s="9">
        <f t="shared" si="5"/>
        <v>0.18868422087534803</v>
      </c>
      <c r="O26" s="9">
        <f t="shared" si="5"/>
        <v>0.146388165656511</v>
      </c>
      <c r="P26" s="9">
        <f t="shared" si="5"/>
        <v>0.12101053252520884</v>
      </c>
      <c r="Q26" s="9">
        <f t="shared" si="5"/>
        <v>0.10409211043767402</v>
      </c>
      <c r="R26" s="9">
        <f t="shared" si="5"/>
        <v>9.2007523232292027E-2</v>
      </c>
      <c r="S26" s="9">
        <f t="shared" si="5"/>
        <v>8.2944082828255508E-2</v>
      </c>
      <c r="T26" s="9">
        <f t="shared" si="5"/>
        <v>7.5894740291782684E-2</v>
      </c>
      <c r="U26" s="9">
        <f t="shared" si="5"/>
        <v>7.0255266262604421E-2</v>
      </c>
      <c r="V26" s="9">
        <f t="shared" si="5"/>
        <v>6.5641151147822194E-2</v>
      </c>
      <c r="W26" s="9">
        <f t="shared" si="5"/>
        <v>6.1796055218837007E-2</v>
      </c>
      <c r="X26" s="9">
        <f t="shared" si="5"/>
        <v>5.8542512509695707E-2</v>
      </c>
      <c r="Y26" s="9">
        <f t="shared" si="5"/>
        <v>5.5753761616146008E-2</v>
      </c>
      <c r="Z26" s="9">
        <f t="shared" si="5"/>
        <v>5.3336844175069606E-2</v>
      </c>
      <c r="AA26" s="9">
        <f t="shared" si="5"/>
        <v>5.1222041414127756E-2</v>
      </c>
      <c r="AB26" s="9">
        <f t="shared" si="5"/>
        <v>4.93560389780026E-2</v>
      </c>
      <c r="AC26" s="9">
        <f t="shared" si="5"/>
        <v>4.7697370145891343E-2</v>
      </c>
      <c r="AD26" s="9">
        <f t="shared" si="5"/>
        <v>4.6213298032949685E-2</v>
      </c>
      <c r="AE26" s="94">
        <f t="shared" si="5"/>
        <v>4.4877633131302205E-2</v>
      </c>
    </row>
    <row r="27" spans="1:31" ht="15.75" customHeight="1" x14ac:dyDescent="0.25">
      <c r="A27" s="25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9">
        <f t="shared" ref="L27:AE27" si="6">L7+L9+L11+L12+L17+L16</f>
        <v>1.3131877600213044</v>
      </c>
      <c r="M27" s="9">
        <f t="shared" si="6"/>
        <v>0.70459388001065215</v>
      </c>
      <c r="N27" s="9">
        <f t="shared" si="6"/>
        <v>0.50172925334043483</v>
      </c>
      <c r="O27" s="9">
        <f t="shared" si="6"/>
        <v>0.40029694000532612</v>
      </c>
      <c r="P27" s="9">
        <f t="shared" si="6"/>
        <v>0.33812787048730547</v>
      </c>
      <c r="Q27" s="9">
        <f t="shared" si="6"/>
        <v>0.29231621908544009</v>
      </c>
      <c r="R27" s="9">
        <f t="shared" si="6"/>
        <v>0.26062264641885835</v>
      </c>
      <c r="S27" s="9">
        <f t="shared" si="6"/>
        <v>0.24004481561650107</v>
      </c>
      <c r="T27" s="9">
        <f t="shared" si="6"/>
        <v>0.22403983610355652</v>
      </c>
      <c r="U27" s="9">
        <f t="shared" si="6"/>
        <v>0.21123585249320084</v>
      </c>
      <c r="V27" s="9">
        <f t="shared" si="6"/>
        <v>0.20075986590290987</v>
      </c>
      <c r="W27" s="9">
        <f t="shared" si="6"/>
        <v>0.19202987707766736</v>
      </c>
      <c r="X27" s="9">
        <f t="shared" si="6"/>
        <v>0.18464296345630835</v>
      </c>
      <c r="Y27" s="9">
        <f t="shared" si="6"/>
        <v>0.17831132320942916</v>
      </c>
      <c r="Z27" s="9">
        <f t="shared" si="6"/>
        <v>0.17158390166213391</v>
      </c>
      <c r="AA27" s="9">
        <f t="shared" si="6"/>
        <v>0.16298490780825056</v>
      </c>
      <c r="AB27" s="9">
        <f t="shared" si="6"/>
        <v>0.15539756029011814</v>
      </c>
      <c r="AC27" s="9">
        <f t="shared" si="6"/>
        <v>0.1486532513851116</v>
      </c>
      <c r="AD27" s="9">
        <f t="shared" si="6"/>
        <v>0.1426188697332636</v>
      </c>
      <c r="AE27" s="94">
        <f t="shared" si="6"/>
        <v>0.13718792624660042</v>
      </c>
    </row>
    <row r="28" spans="1:31" ht="15.75" customHeight="1" x14ac:dyDescent="0.25">
      <c r="A28" s="23" t="s">
        <v>13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9">
        <f t="shared" ref="L28:AE28" si="7">L7+L9+L11+L12+L15+L17+L16</f>
        <v>1.3162177600213045</v>
      </c>
      <c r="M28" s="9">
        <f t="shared" si="7"/>
        <v>0.70762388001065213</v>
      </c>
      <c r="N28" s="9">
        <f t="shared" si="7"/>
        <v>0.50475925334043481</v>
      </c>
      <c r="O28" s="9">
        <f t="shared" si="7"/>
        <v>0.4033269400053261</v>
      </c>
      <c r="P28" s="9">
        <f t="shared" si="7"/>
        <v>0.34115787048730545</v>
      </c>
      <c r="Q28" s="9">
        <f t="shared" si="7"/>
        <v>0.29534621908544006</v>
      </c>
      <c r="R28" s="9">
        <f t="shared" si="7"/>
        <v>0.26365264641885833</v>
      </c>
      <c r="S28" s="9">
        <f t="shared" si="7"/>
        <v>0.24277181561650107</v>
      </c>
      <c r="T28" s="9">
        <f t="shared" si="7"/>
        <v>0.22646383610355653</v>
      </c>
      <c r="U28" s="9">
        <f t="shared" si="7"/>
        <v>0.21341745249320085</v>
      </c>
      <c r="V28" s="9">
        <f t="shared" si="7"/>
        <v>0.20274313863018259</v>
      </c>
      <c r="W28" s="9">
        <f t="shared" si="7"/>
        <v>0.19384787707766735</v>
      </c>
      <c r="X28" s="9">
        <f t="shared" si="7"/>
        <v>0.1863211173024622</v>
      </c>
      <c r="Y28" s="9">
        <f t="shared" si="7"/>
        <v>0.17986960892371487</v>
      </c>
      <c r="Z28" s="9">
        <f t="shared" si="7"/>
        <v>0.17303830166213391</v>
      </c>
      <c r="AA28" s="9">
        <f t="shared" si="7"/>
        <v>0.16434840780825055</v>
      </c>
      <c r="AB28" s="9">
        <f t="shared" si="7"/>
        <v>0.15668085440776519</v>
      </c>
      <c r="AC28" s="9">
        <f t="shared" si="7"/>
        <v>0.14986525138511159</v>
      </c>
      <c r="AD28" s="9">
        <f t="shared" si="7"/>
        <v>0.14376708025957941</v>
      </c>
      <c r="AE28" s="94">
        <f t="shared" si="7"/>
        <v>0.13827872624660043</v>
      </c>
    </row>
    <row r="29" spans="1:31" ht="15.75" customHeight="1" x14ac:dyDescent="0.25">
      <c r="A29" s="26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16">
        <f t="shared" ref="L29:AE29" si="8">L7+L11+L17+L16</f>
        <v>1.2640772544086265</v>
      </c>
      <c r="M29" s="16">
        <f t="shared" si="8"/>
        <v>0.68003862720431318</v>
      </c>
      <c r="N29" s="16">
        <f t="shared" si="8"/>
        <v>0.48535908480287548</v>
      </c>
      <c r="O29" s="16">
        <f t="shared" si="8"/>
        <v>0.38801931360215663</v>
      </c>
      <c r="P29" s="16">
        <f t="shared" si="8"/>
        <v>0.32830576936476985</v>
      </c>
      <c r="Q29" s="16">
        <f t="shared" si="8"/>
        <v>0.28413113481666041</v>
      </c>
      <c r="R29" s="16">
        <f t="shared" si="8"/>
        <v>0.25360685990276149</v>
      </c>
      <c r="S29" s="16">
        <f t="shared" si="8"/>
        <v>0.23390600241491633</v>
      </c>
      <c r="T29" s="16">
        <f t="shared" si="8"/>
        <v>0.21858311325770338</v>
      </c>
      <c r="U29" s="16">
        <f t="shared" si="8"/>
        <v>0.20632480193193303</v>
      </c>
      <c r="V29" s="16">
        <f t="shared" si="8"/>
        <v>0.19629527448357548</v>
      </c>
      <c r="W29" s="16">
        <f t="shared" si="8"/>
        <v>0.18793733494327752</v>
      </c>
      <c r="X29" s="16">
        <f t="shared" si="8"/>
        <v>0.1808652322553331</v>
      </c>
      <c r="Y29" s="16">
        <f t="shared" si="8"/>
        <v>0.17480342995138073</v>
      </c>
      <c r="Z29" s="16">
        <f t="shared" si="8"/>
        <v>0.16830986795462205</v>
      </c>
      <c r="AA29" s="16">
        <f t="shared" si="8"/>
        <v>0.15991550120745818</v>
      </c>
      <c r="AB29" s="16">
        <f t="shared" si="8"/>
        <v>0.15250870701878416</v>
      </c>
      <c r="AC29" s="16">
        <f t="shared" si="8"/>
        <v>0.14592488996218503</v>
      </c>
      <c r="AD29" s="16">
        <f t="shared" si="8"/>
        <v>0.14003410627996474</v>
      </c>
      <c r="AE29" s="96">
        <f t="shared" si="8"/>
        <v>0.1347324009659665</v>
      </c>
    </row>
    <row r="30" spans="1:31" ht="15.75" customHeight="1" x14ac:dyDescent="0.25">
      <c r="A30" s="26" t="s">
        <v>38</v>
      </c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6">
        <f t="shared" ref="L30:AE30" si="9">L7+L9+L11+L12+L13+L17+L10+L16</f>
        <v>1.4186277600213044</v>
      </c>
      <c r="M30" s="16">
        <f t="shared" si="9"/>
        <v>0.81003388001065213</v>
      </c>
      <c r="N30" s="16">
        <f t="shared" si="9"/>
        <v>0.60716925334043481</v>
      </c>
      <c r="O30" s="16">
        <f t="shared" si="9"/>
        <v>0.50573694000532621</v>
      </c>
      <c r="P30" s="16">
        <f t="shared" si="9"/>
        <v>0.44356787048730545</v>
      </c>
      <c r="Q30" s="16">
        <f t="shared" si="9"/>
        <v>0.39775621908544007</v>
      </c>
      <c r="R30" s="16">
        <f t="shared" si="9"/>
        <v>0.36589167499028696</v>
      </c>
      <c r="S30" s="16">
        <f t="shared" si="9"/>
        <v>0.34465521561650109</v>
      </c>
      <c r="T30" s="16">
        <f t="shared" si="9"/>
        <v>0.32813796943688989</v>
      </c>
      <c r="U30" s="16">
        <f t="shared" si="9"/>
        <v>0.31492417249320082</v>
      </c>
      <c r="V30" s="16">
        <f t="shared" si="9"/>
        <v>0.30411288408472809</v>
      </c>
      <c r="W30" s="16">
        <f t="shared" si="9"/>
        <v>0.29510347707766738</v>
      </c>
      <c r="X30" s="16">
        <f t="shared" si="9"/>
        <v>0.28748013268707762</v>
      </c>
      <c r="Y30" s="16">
        <f t="shared" si="9"/>
        <v>0.28094583749514346</v>
      </c>
      <c r="Z30" s="16">
        <f t="shared" si="9"/>
        <v>0.27404278166213392</v>
      </c>
      <c r="AA30" s="16">
        <f t="shared" si="9"/>
        <v>0.26529010780825057</v>
      </c>
      <c r="AB30" s="16">
        <f t="shared" si="9"/>
        <v>0.25756716029011811</v>
      </c>
      <c r="AC30" s="16">
        <f t="shared" si="9"/>
        <v>0.25070231805177823</v>
      </c>
      <c r="AD30" s="16">
        <f t="shared" si="9"/>
        <v>0.24456009078589519</v>
      </c>
      <c r="AE30" s="96">
        <f t="shared" si="9"/>
        <v>0.23903208624660041</v>
      </c>
    </row>
    <row r="31" spans="1:31" x14ac:dyDescent="0.2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9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0"/>
    </row>
    <row r="32" spans="1:31" ht="14.5" x14ac:dyDescent="0.25">
      <c r="A32" s="65" t="s">
        <v>115</v>
      </c>
      <c r="B32" s="66"/>
      <c r="C32" s="66"/>
      <c r="D32" s="66"/>
      <c r="E32" s="66"/>
      <c r="F32" s="66"/>
      <c r="G32" s="66"/>
      <c r="H32" s="66"/>
      <c r="I32" s="66"/>
      <c r="J32" s="66"/>
      <c r="K32" s="67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8"/>
    </row>
    <row r="33" spans="1:31" ht="14.5" x14ac:dyDescent="0.25">
      <c r="A33" s="65" t="s">
        <v>116</v>
      </c>
      <c r="B33" s="66"/>
      <c r="C33" s="66"/>
      <c r="D33" s="66"/>
      <c r="E33" s="66"/>
      <c r="F33" s="66"/>
      <c r="G33" s="66"/>
      <c r="H33" s="66"/>
      <c r="I33" s="66"/>
      <c r="J33" s="66"/>
      <c r="K33" s="67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8"/>
    </row>
    <row r="34" spans="1:31" ht="14.5" x14ac:dyDescent="0.25">
      <c r="A34" s="65" t="s">
        <v>117</v>
      </c>
      <c r="B34" s="66"/>
      <c r="C34" s="66"/>
      <c r="D34" s="66"/>
      <c r="E34" s="66"/>
      <c r="F34" s="66"/>
      <c r="G34" s="66"/>
      <c r="H34" s="66"/>
      <c r="I34" s="66"/>
      <c r="J34" s="66"/>
      <c r="K34" s="67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8"/>
    </row>
    <row r="35" spans="1:31" ht="14.5" x14ac:dyDescent="0.25">
      <c r="A35" s="65" t="s">
        <v>109</v>
      </c>
      <c r="B35" s="66"/>
      <c r="C35" s="66"/>
      <c r="D35" s="66"/>
      <c r="E35" s="66"/>
      <c r="F35" s="66"/>
      <c r="G35" s="66"/>
      <c r="H35" s="66"/>
      <c r="I35" s="66"/>
      <c r="J35" s="66"/>
      <c r="K35" s="67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8"/>
    </row>
    <row r="36" spans="1:31" ht="14.5" x14ac:dyDescent="0.25">
      <c r="A36" s="65" t="s">
        <v>90</v>
      </c>
      <c r="B36" s="66"/>
      <c r="C36" s="66"/>
      <c r="D36" s="66"/>
      <c r="E36" s="66"/>
      <c r="F36" s="66"/>
      <c r="G36" s="66"/>
      <c r="H36" s="66"/>
      <c r="I36" s="66"/>
      <c r="J36" s="66"/>
      <c r="K36" s="67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8"/>
    </row>
    <row r="37" spans="1:31" ht="14.5" x14ac:dyDescent="0.25">
      <c r="A37" s="65" t="s">
        <v>107</v>
      </c>
      <c r="B37" s="66"/>
      <c r="C37" s="66"/>
      <c r="D37" s="66"/>
      <c r="E37" s="66"/>
      <c r="F37" s="66"/>
      <c r="G37" s="66"/>
      <c r="H37" s="66"/>
      <c r="I37" s="66"/>
      <c r="J37" s="66"/>
      <c r="K37" s="67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8"/>
    </row>
    <row r="38" spans="1:31" ht="14.5" x14ac:dyDescent="0.25">
      <c r="A38" s="65" t="s">
        <v>121</v>
      </c>
      <c r="B38" s="66"/>
      <c r="C38" s="66"/>
      <c r="D38" s="66"/>
      <c r="E38" s="66"/>
      <c r="F38" s="66"/>
      <c r="G38" s="66"/>
      <c r="H38" s="66"/>
      <c r="I38" s="66"/>
      <c r="J38" s="66"/>
      <c r="K38" s="67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8"/>
    </row>
    <row r="39" spans="1:31" ht="14.5" x14ac:dyDescent="0.25">
      <c r="A39" s="65" t="s">
        <v>119</v>
      </c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8"/>
    </row>
    <row r="40" spans="1:31" ht="14.5" x14ac:dyDescent="0.25">
      <c r="A40" s="65" t="s">
        <v>86</v>
      </c>
      <c r="B40" s="66"/>
      <c r="C40" s="66"/>
      <c r="D40" s="66"/>
      <c r="E40" s="66"/>
      <c r="F40" s="66"/>
      <c r="G40" s="66"/>
      <c r="H40" s="66"/>
      <c r="I40" s="66"/>
      <c r="J40" s="66"/>
      <c r="K40" s="67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8"/>
    </row>
    <row r="41" spans="1:31" ht="14.5" x14ac:dyDescent="0.25">
      <c r="A41" s="65" t="s">
        <v>94</v>
      </c>
      <c r="B41" s="66"/>
      <c r="C41" s="66"/>
      <c r="D41" s="66"/>
      <c r="E41" s="66"/>
      <c r="F41" s="66"/>
      <c r="G41" s="66"/>
      <c r="H41" s="66"/>
      <c r="I41" s="66"/>
      <c r="J41" s="66"/>
      <c r="K41" s="67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8"/>
    </row>
    <row r="42" spans="1:31" ht="14.5" x14ac:dyDescent="0.25">
      <c r="A42" s="65" t="s">
        <v>83</v>
      </c>
      <c r="B42" s="66"/>
      <c r="C42" s="66"/>
      <c r="D42" s="66"/>
      <c r="E42" s="66"/>
      <c r="F42" s="66"/>
      <c r="G42" s="66"/>
      <c r="H42" s="66"/>
      <c r="I42" s="66"/>
      <c r="J42" s="66"/>
      <c r="K42" s="67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8"/>
    </row>
    <row r="43" spans="1:31" ht="14.5" x14ac:dyDescent="0.25">
      <c r="A43" s="65" t="s">
        <v>77</v>
      </c>
      <c r="B43" s="66"/>
      <c r="C43" s="66"/>
      <c r="D43" s="66"/>
      <c r="E43" s="66"/>
      <c r="F43" s="66"/>
      <c r="G43" s="66"/>
      <c r="H43" s="66"/>
      <c r="I43" s="66"/>
      <c r="J43" s="66"/>
      <c r="K43" s="67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8"/>
    </row>
    <row r="44" spans="1:31" ht="14.5" x14ac:dyDescent="0.25">
      <c r="A44" s="65" t="s">
        <v>89</v>
      </c>
      <c r="B44" s="66"/>
      <c r="C44" s="66"/>
      <c r="D44" s="66"/>
      <c r="E44" s="66"/>
      <c r="F44" s="66"/>
      <c r="G44" s="66"/>
      <c r="H44" s="66"/>
      <c r="I44" s="66"/>
      <c r="J44" s="66"/>
      <c r="K44" s="67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8"/>
    </row>
    <row r="45" spans="1:31" ht="4.5" customHeight="1" x14ac:dyDescent="0.25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7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8"/>
    </row>
    <row r="46" spans="1:31" x14ac:dyDescent="0.25">
      <c r="A46" s="118" t="s">
        <v>118</v>
      </c>
      <c r="B46" s="66"/>
      <c r="C46" s="66"/>
      <c r="D46" s="66"/>
      <c r="E46" s="66"/>
      <c r="F46" s="66"/>
      <c r="G46" s="66"/>
      <c r="H46" s="66"/>
      <c r="I46" s="66"/>
      <c r="J46" s="66"/>
      <c r="K46" s="67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8"/>
    </row>
    <row r="47" spans="1:31" ht="7" customHeight="1" x14ac:dyDescent="0.25">
      <c r="A47" s="105"/>
      <c r="B47" s="69"/>
      <c r="C47" s="69"/>
      <c r="D47" s="69"/>
      <c r="E47" s="69"/>
      <c r="F47" s="69"/>
      <c r="G47" s="69"/>
      <c r="H47" s="69"/>
      <c r="I47" s="69"/>
      <c r="J47" s="69"/>
      <c r="K47" s="70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71"/>
    </row>
  </sheetData>
  <mergeCells count="8">
    <mergeCell ref="A21:K21"/>
    <mergeCell ref="A4:K4"/>
    <mergeCell ref="A1:AE1"/>
    <mergeCell ref="L21:AE21"/>
    <mergeCell ref="A2:AE2"/>
    <mergeCell ref="A3:AE3"/>
    <mergeCell ref="L4:AE4"/>
    <mergeCell ref="A20:W20"/>
  </mergeCells>
  <phoneticPr fontId="0" type="noConversion"/>
  <pageMargins left="0.25" right="0.25" top="0.25" bottom="0.25" header="0.5" footer="0.25"/>
  <pageSetup paperSize="5" scale="61" orientation="landscape" r:id="rId1"/>
  <headerFooter alignWithMargins="0">
    <oddFooter>&amp;L&amp;8&amp;F, &amp;D</oddFooter>
  </headerFooter>
  <rowBreaks count="1" manualBreakCount="1">
    <brk id="47" max="16383" man="1"/>
  </rowBreaks>
  <colBreaks count="1" manualBreakCount="1">
    <brk id="31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47"/>
  <sheetViews>
    <sheetView showGridLines="0" topLeftCell="E1" zoomScaleNormal="100" workbookViewId="0">
      <selection activeCell="A29" sqref="A29"/>
    </sheetView>
  </sheetViews>
  <sheetFormatPr defaultColWidth="9.1796875" defaultRowHeight="12.5" x14ac:dyDescent="0.25"/>
  <cols>
    <col min="1" max="1" width="50.7265625" style="1" customWidth="1"/>
    <col min="2" max="2" width="7" style="1" customWidth="1"/>
    <col min="3" max="3" width="4" style="1" customWidth="1"/>
    <col min="4" max="4" width="6.08984375" style="1" bestFit="1" customWidth="1"/>
    <col min="5" max="7" width="4" style="1" customWidth="1"/>
    <col min="8" max="8" width="4.453125" style="1" customWidth="1"/>
    <col min="9" max="10" width="3.453125" style="1" customWidth="1"/>
    <col min="11" max="11" width="43" style="3" customWidth="1"/>
    <col min="12" max="13" width="9" style="1" bestFit="1" customWidth="1"/>
    <col min="14" max="23" width="8.7265625" style="1" customWidth="1"/>
    <col min="24" max="16384" width="9.1796875" style="1"/>
  </cols>
  <sheetData>
    <row r="1" spans="1:23" s="2" customFormat="1" ht="15.75" customHeight="1" x14ac:dyDescent="0.35">
      <c r="A1" s="128" t="s">
        <v>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</row>
    <row r="2" spans="1:23" s="2" customFormat="1" ht="21.75" customHeight="1" x14ac:dyDescent="0.35">
      <c r="A2" s="128" t="s">
        <v>110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30"/>
    </row>
    <row r="3" spans="1:23" s="2" customFormat="1" ht="21.75" customHeight="1" x14ac:dyDescent="0.35">
      <c r="A3" s="128" t="s">
        <v>11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30"/>
    </row>
    <row r="4" spans="1:23" ht="31.5" customHeight="1" x14ac:dyDescent="0.35">
      <c r="A4" s="125" t="s">
        <v>40</v>
      </c>
      <c r="B4" s="126"/>
      <c r="C4" s="126"/>
      <c r="D4" s="126"/>
      <c r="E4" s="126"/>
      <c r="F4" s="126"/>
      <c r="G4" s="126"/>
      <c r="H4" s="126"/>
      <c r="I4" s="126"/>
      <c r="J4" s="126"/>
      <c r="K4" s="127"/>
      <c r="L4" s="128" t="s">
        <v>1</v>
      </c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</row>
    <row r="5" spans="1:23" ht="156.75" customHeight="1" x14ac:dyDescent="0.3">
      <c r="A5" s="21"/>
      <c r="B5" s="12" t="s">
        <v>41</v>
      </c>
      <c r="C5" s="12" t="s">
        <v>3</v>
      </c>
      <c r="D5" s="12" t="s">
        <v>120</v>
      </c>
      <c r="E5" s="27" t="s">
        <v>2</v>
      </c>
      <c r="F5" s="12" t="s">
        <v>7</v>
      </c>
      <c r="G5" s="12" t="s">
        <v>8</v>
      </c>
      <c r="H5" s="12" t="s">
        <v>12</v>
      </c>
      <c r="I5" s="12" t="s">
        <v>6</v>
      </c>
      <c r="J5" s="12" t="s">
        <v>38</v>
      </c>
      <c r="K5" s="12"/>
      <c r="L5" s="13">
        <v>225000</v>
      </c>
      <c r="M5" s="13">
        <v>250000</v>
      </c>
      <c r="N5" s="13">
        <v>275000</v>
      </c>
      <c r="O5" s="13">
        <v>300000</v>
      </c>
      <c r="P5" s="13">
        <v>325000</v>
      </c>
      <c r="Q5" s="13">
        <v>350000</v>
      </c>
      <c r="R5" s="13">
        <v>375000</v>
      </c>
      <c r="S5" s="13">
        <v>400000</v>
      </c>
      <c r="T5" s="13">
        <v>425000</v>
      </c>
      <c r="U5" s="13">
        <v>450000</v>
      </c>
      <c r="V5" s="13">
        <v>475000</v>
      </c>
      <c r="W5" s="22">
        <v>500000</v>
      </c>
    </row>
    <row r="6" spans="1:23" x14ac:dyDescent="0.25">
      <c r="A6" s="23" t="s">
        <v>0</v>
      </c>
      <c r="B6" s="4"/>
      <c r="C6" s="4"/>
      <c r="D6" s="4"/>
      <c r="E6" s="4"/>
      <c r="F6" s="4"/>
      <c r="G6" s="4"/>
      <c r="H6" s="4"/>
      <c r="I6" s="4"/>
      <c r="J6" s="4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24"/>
    </row>
    <row r="7" spans="1:23" ht="14.5" x14ac:dyDescent="0.25">
      <c r="A7" s="23" t="s">
        <v>9</v>
      </c>
      <c r="B7" s="10" t="s">
        <v>4</v>
      </c>
      <c r="C7" s="10" t="s">
        <v>4</v>
      </c>
      <c r="D7" s="10" t="s">
        <v>4</v>
      </c>
      <c r="E7" s="10" t="s">
        <v>4</v>
      </c>
      <c r="F7" s="10"/>
      <c r="G7" s="10" t="s">
        <v>4</v>
      </c>
      <c r="H7" s="10" t="s">
        <v>4</v>
      </c>
      <c r="I7" s="10" t="s">
        <v>4</v>
      </c>
      <c r="J7" s="10" t="s">
        <v>4</v>
      </c>
      <c r="K7" s="5"/>
      <c r="L7" s="61">
        <f>Calcul!C30</f>
        <v>4.846737863641469E-2</v>
      </c>
      <c r="M7" s="61">
        <f>Calcul!C31</f>
        <v>4.3620640772773223E-2</v>
      </c>
      <c r="N7" s="61">
        <f>Calcul!C32</f>
        <v>3.965512797524838E-2</v>
      </c>
      <c r="O7" s="61">
        <f>Calcul!C33</f>
        <v>3.6350533977311021E-2</v>
      </c>
      <c r="P7" s="61">
        <f>Calcul!C34</f>
        <v>3.3554339055979404E-2</v>
      </c>
      <c r="Q7" s="61">
        <f>Calcul!C35</f>
        <v>3.1157600551980871E-2</v>
      </c>
      <c r="R7" s="61">
        <f>Calcul!C36</f>
        <v>2.9080427181848816E-2</v>
      </c>
      <c r="S7" s="61">
        <f>Calcul!C37</f>
        <v>2.7262900482983264E-2</v>
      </c>
      <c r="T7" s="61">
        <f>Calcul!C38</f>
        <v>2.5659200454572484E-2</v>
      </c>
      <c r="U7" s="61">
        <f>Calcul!C39</f>
        <v>2.4233689318207345E-2</v>
      </c>
      <c r="V7" s="61">
        <f>Calcul!C40</f>
        <v>2.2958231985670118E-2</v>
      </c>
      <c r="W7" s="62">
        <f>Calcul!C41</f>
        <v>2.1810320386386611E-2</v>
      </c>
    </row>
    <row r="8" spans="1:23" ht="14.5" x14ac:dyDescent="0.25">
      <c r="A8" s="23" t="s">
        <v>45</v>
      </c>
      <c r="B8" s="10"/>
      <c r="C8" s="10"/>
      <c r="D8" s="10"/>
      <c r="E8" s="10"/>
      <c r="F8" s="10" t="s">
        <v>4</v>
      </c>
      <c r="G8" s="10"/>
      <c r="H8" s="10"/>
      <c r="I8" s="10"/>
      <c r="J8" s="10"/>
      <c r="K8" s="5"/>
      <c r="L8" s="61">
        <f>Calcul!J30</f>
        <v>2.0375206978371824E-2</v>
      </c>
      <c r="M8" s="61">
        <f>Calcul!J31</f>
        <v>1.8337686280534643E-2</v>
      </c>
      <c r="N8" s="61">
        <f>Calcul!J32</f>
        <v>1.667062389139513E-2</v>
      </c>
      <c r="O8" s="61">
        <f>Calcul!J33</f>
        <v>1.5281405233778869E-2</v>
      </c>
      <c r="P8" s="61">
        <f>Calcul!J34</f>
        <v>1.4105912523488187E-2</v>
      </c>
      <c r="Q8" s="61">
        <f>Calcul!J35</f>
        <v>1.3098347343239031E-2</v>
      </c>
      <c r="R8" s="61">
        <f>Calcul!J36</f>
        <v>1.2225124187023095E-2</v>
      </c>
      <c r="S8" s="61">
        <f>Calcul!J37</f>
        <v>1.1461053925334152E-2</v>
      </c>
      <c r="T8" s="61">
        <f>Calcul!J38</f>
        <v>1.0786874282667436E-2</v>
      </c>
      <c r="U8" s="61">
        <f>Calcul!J39</f>
        <v>1.0187603489185912E-2</v>
      </c>
      <c r="V8" s="61">
        <f>Calcul!J40</f>
        <v>9.6514138318603386E-3</v>
      </c>
      <c r="W8" s="62">
        <f>Calcul!J41</f>
        <v>9.1688431402673215E-3</v>
      </c>
    </row>
    <row r="9" spans="1:23" ht="14.5" x14ac:dyDescent="0.25">
      <c r="A9" s="23" t="s">
        <v>46</v>
      </c>
      <c r="B9" s="10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/>
      <c r="J9" s="10" t="s">
        <v>4</v>
      </c>
      <c r="K9" s="5"/>
      <c r="L9" s="61">
        <f>Calcul!C76</f>
        <v>1.2960000000000001E-4</v>
      </c>
      <c r="M9" s="61">
        <f>Calcul!C77</f>
        <v>1.1664000000000001E-4</v>
      </c>
      <c r="N9" s="61">
        <f>Calcul!C78</f>
        <v>1.0603636363636365E-4</v>
      </c>
      <c r="O9" s="61">
        <f>Calcul!C79</f>
        <v>9.7200000000000018E-5</v>
      </c>
      <c r="P9" s="61">
        <f>Calcul!C80</f>
        <v>8.9723076923076939E-5</v>
      </c>
      <c r="Q9" s="61">
        <f>Calcul!C81</f>
        <v>8.3314285714285722E-5</v>
      </c>
      <c r="R9" s="61">
        <f>Calcul!C82</f>
        <v>7.7760000000000014E-5</v>
      </c>
      <c r="S9" s="61">
        <f>Calcul!C83</f>
        <v>7.290000000000001E-5</v>
      </c>
      <c r="T9" s="61">
        <f>Calcul!C84</f>
        <v>6.8611764705882368E-5</v>
      </c>
      <c r="U9" s="61">
        <f>Calcul!C85</f>
        <v>6.4800000000000003E-5</v>
      </c>
      <c r="V9" s="61">
        <f>Calcul!C86</f>
        <v>6.138947368421054E-5</v>
      </c>
      <c r="W9" s="62">
        <f>Calcul!C87</f>
        <v>5.8320000000000004E-5</v>
      </c>
    </row>
    <row r="10" spans="1:23" ht="14.5" x14ac:dyDescent="0.25">
      <c r="A10" s="23" t="s">
        <v>88</v>
      </c>
      <c r="B10" s="11" t="s">
        <v>4</v>
      </c>
      <c r="C10" s="11" t="s">
        <v>4</v>
      </c>
      <c r="D10" s="11" t="s">
        <v>4</v>
      </c>
      <c r="E10" s="11" t="s">
        <v>4</v>
      </c>
      <c r="F10" s="10"/>
      <c r="G10" s="11"/>
      <c r="H10" s="10"/>
      <c r="I10" s="10"/>
      <c r="J10" s="10" t="s">
        <v>4</v>
      </c>
      <c r="K10" s="5"/>
      <c r="L10" s="61">
        <f>Calcul!C128</f>
        <v>0.1</v>
      </c>
      <c r="M10" s="61">
        <f>Calcul!C129</f>
        <v>0.1</v>
      </c>
      <c r="N10" s="61">
        <f>Calcul!C130</f>
        <v>0.1</v>
      </c>
      <c r="O10" s="61">
        <f>Calcul!C131</f>
        <v>0.1</v>
      </c>
      <c r="P10" s="61">
        <f>Calcul!C132</f>
        <v>9.3846153846153843E-2</v>
      </c>
      <c r="Q10" s="61">
        <f>Calcul!C133</f>
        <v>8.7142857142857147E-2</v>
      </c>
      <c r="R10" s="61">
        <f>Calcul!C134</f>
        <v>8.1333333333333327E-2</v>
      </c>
      <c r="S10" s="61">
        <f>Calcul!C135</f>
        <v>7.6249999999999998E-2</v>
      </c>
      <c r="T10" s="61">
        <f>Calcul!C136</f>
        <v>7.1764705882352939E-2</v>
      </c>
      <c r="U10" s="61">
        <f>Calcul!C137</f>
        <v>6.7777777777777784E-2</v>
      </c>
      <c r="V10" s="61">
        <f>Calcul!C138</f>
        <v>6.4210526315789468E-2</v>
      </c>
      <c r="W10" s="62">
        <f>Calcul!C139</f>
        <v>6.0999999999999999E-2</v>
      </c>
    </row>
    <row r="11" spans="1:23" ht="14.5" x14ac:dyDescent="0.25">
      <c r="A11" s="23" t="s">
        <v>47</v>
      </c>
      <c r="B11" s="11" t="s">
        <v>4</v>
      </c>
      <c r="C11" s="11" t="s">
        <v>4</v>
      </c>
      <c r="D11" s="11" t="s">
        <v>4</v>
      </c>
      <c r="E11" s="11" t="s">
        <v>4</v>
      </c>
      <c r="F11" s="11" t="s">
        <v>10</v>
      </c>
      <c r="G11" s="11" t="s">
        <v>4</v>
      </c>
      <c r="H11" s="11" t="s">
        <v>4</v>
      </c>
      <c r="I11" s="11" t="s">
        <v>4</v>
      </c>
      <c r="J11" s="10" t="s">
        <v>4</v>
      </c>
      <c r="K11" s="5"/>
      <c r="L11" s="61">
        <f>Calcul!F110</f>
        <v>5.5006666666666669E-2</v>
      </c>
      <c r="M11" s="61">
        <f>Calcul!F111</f>
        <v>5.0956000000000001E-2</v>
      </c>
      <c r="N11" s="61">
        <f>Calcul!F112</f>
        <v>4.7641818181818181E-2</v>
      </c>
      <c r="O11" s="61">
        <f>Calcul!F113</f>
        <v>4.4880000000000003E-2</v>
      </c>
      <c r="P11" s="61">
        <f>Calcul!F114</f>
        <v>4.2543076923076927E-2</v>
      </c>
      <c r="Q11" s="61">
        <f>Calcul!F115</f>
        <v>4.054E-2</v>
      </c>
      <c r="R11" s="61">
        <f>Calcul!F116</f>
        <v>3.8803999999999998E-2</v>
      </c>
      <c r="S11" s="61">
        <f>Calcul!F117</f>
        <v>3.7284999999999999E-2</v>
      </c>
      <c r="T11" s="61">
        <f>Calcul!F118</f>
        <v>3.5944705882352941E-2</v>
      </c>
      <c r="U11" s="61">
        <f>Calcul!F119</f>
        <v>3.4753333333333331E-2</v>
      </c>
      <c r="V11" s="61">
        <f>Calcul!F120</f>
        <v>3.3687368421052633E-2</v>
      </c>
      <c r="W11" s="62">
        <f>Calcul!F121</f>
        <v>3.2728E-2</v>
      </c>
    </row>
    <row r="12" spans="1:23" ht="14.5" x14ac:dyDescent="0.25">
      <c r="A12" s="23" t="s">
        <v>48</v>
      </c>
      <c r="B12" s="11" t="s">
        <v>4</v>
      </c>
      <c r="C12" s="11" t="s">
        <v>4</v>
      </c>
      <c r="D12" s="11" t="s">
        <v>4</v>
      </c>
      <c r="E12" s="11" t="s">
        <v>4</v>
      </c>
      <c r="F12" s="11" t="s">
        <v>4</v>
      </c>
      <c r="G12" s="11" t="s">
        <v>4</v>
      </c>
      <c r="H12" s="11" t="s">
        <v>4</v>
      </c>
      <c r="I12" s="11"/>
      <c r="J12" s="10" t="s">
        <v>4</v>
      </c>
      <c r="K12" s="5"/>
      <c r="L12" s="61">
        <f>Calcul!C170</f>
        <v>2.0530891383412466E-3</v>
      </c>
      <c r="M12" s="61">
        <f>Calcul!C171</f>
        <v>1.8477802245071221E-3</v>
      </c>
      <c r="N12" s="61">
        <f>Calcul!C172</f>
        <v>1.6798002040973837E-3</v>
      </c>
      <c r="O12" s="61">
        <f>Calcul!C173</f>
        <v>1.5398168537559351E-3</v>
      </c>
      <c r="P12" s="61">
        <f>Calcul!C174</f>
        <v>1.421369403467017E-3</v>
      </c>
      <c r="Q12" s="61">
        <f>Calcul!C175</f>
        <v>1.3198430175050872E-3</v>
      </c>
      <c r="R12" s="61">
        <f>Calcul!C176</f>
        <v>1.2318534830047479E-3</v>
      </c>
      <c r="S12" s="61">
        <f>Calcul!C177</f>
        <v>1.1548626403169514E-3</v>
      </c>
      <c r="T12" s="61">
        <f>Calcul!C178</f>
        <v>1.0869295438277189E-3</v>
      </c>
      <c r="U12" s="61">
        <f>Calcul!C179</f>
        <v>1.0265445691706233E-3</v>
      </c>
      <c r="V12" s="61">
        <f>Calcul!C180</f>
        <v>9.7251590763532743E-4</v>
      </c>
      <c r="W12" s="62">
        <f>Calcul!C181</f>
        <v>9.2389011225356107E-4</v>
      </c>
    </row>
    <row r="13" spans="1:23" ht="14.5" x14ac:dyDescent="0.25">
      <c r="A13" s="23" t="s">
        <v>49</v>
      </c>
      <c r="B13" s="11" t="s">
        <v>4</v>
      </c>
      <c r="C13" s="10"/>
      <c r="D13" s="11" t="s">
        <v>4</v>
      </c>
      <c r="E13" s="10"/>
      <c r="F13" s="10"/>
      <c r="G13" s="10"/>
      <c r="H13" s="10"/>
      <c r="I13" s="10"/>
      <c r="J13" s="10" t="s">
        <v>4</v>
      </c>
      <c r="K13" s="5"/>
      <c r="L13" s="64">
        <f>Calcul!E207</f>
        <v>1.6392533333333334E-3</v>
      </c>
      <c r="M13" s="61">
        <f>Calcul!E208</f>
        <v>1.4753279999999999E-3</v>
      </c>
      <c r="N13" s="61">
        <f>Calcul!E209</f>
        <v>1.3412072727272727E-3</v>
      </c>
      <c r="O13" s="61">
        <f>Calcul!E210</f>
        <v>1.22944E-3</v>
      </c>
      <c r="P13" s="61">
        <f>Calcul!E211</f>
        <v>1.1348676923076922E-3</v>
      </c>
      <c r="Q13" s="61">
        <f>Calcul!E212</f>
        <v>1.0538057142857142E-3</v>
      </c>
      <c r="R13" s="61">
        <f>Calcul!E213</f>
        <v>9.8355199999999995E-4</v>
      </c>
      <c r="S13" s="61">
        <f>Calcul!E214</f>
        <v>9.2208000000000004E-4</v>
      </c>
      <c r="T13" s="61">
        <f>Calcul!E215</f>
        <v>8.6783999999999993E-4</v>
      </c>
      <c r="U13" s="61">
        <f>Calcul!E216</f>
        <v>8.196266666666667E-4</v>
      </c>
      <c r="V13" s="61">
        <f>Calcul!E217</f>
        <v>7.7648842105263155E-4</v>
      </c>
      <c r="W13" s="62">
        <f>Calcul!E218</f>
        <v>7.3766399999999996E-4</v>
      </c>
    </row>
    <row r="14" spans="1:23" ht="14.5" x14ac:dyDescent="0.25">
      <c r="A14" s="23" t="s">
        <v>50</v>
      </c>
      <c r="B14" s="10"/>
      <c r="C14" s="10"/>
      <c r="D14" s="10"/>
      <c r="E14" s="10" t="s">
        <v>4</v>
      </c>
      <c r="F14" s="10"/>
      <c r="G14" s="10"/>
      <c r="H14" s="10"/>
      <c r="I14" s="10"/>
      <c r="J14" s="10"/>
      <c r="K14" s="5"/>
      <c r="L14" s="64">
        <f>Calcul!P207</f>
        <v>1.7344000000000001E-3</v>
      </c>
      <c r="M14" s="64">
        <f>Calcul!P208</f>
        <v>1.5609600000000001E-3</v>
      </c>
      <c r="N14" s="64">
        <f>Calcul!P209</f>
        <v>1.4190545454545456E-3</v>
      </c>
      <c r="O14" s="64">
        <f>Calcul!P210</f>
        <v>1.3008E-3</v>
      </c>
      <c r="P14" s="64">
        <f>Calcul!P211</f>
        <v>1.2007384615384616E-3</v>
      </c>
      <c r="Q14" s="64">
        <f>Calcul!P212</f>
        <v>1.1149714285714285E-3</v>
      </c>
      <c r="R14" s="64">
        <f>Calcul!P213</f>
        <v>1.04064E-3</v>
      </c>
      <c r="S14" s="64">
        <f>Calcul!P214</f>
        <v>9.7559999999999997E-4</v>
      </c>
      <c r="T14" s="64">
        <f>Calcul!P215</f>
        <v>9.1821176470588232E-4</v>
      </c>
      <c r="U14" s="64">
        <f>Calcul!P216</f>
        <v>8.6720000000000005E-4</v>
      </c>
      <c r="V14" s="64">
        <f>Calcul!P217</f>
        <v>8.2155789473684212E-4</v>
      </c>
      <c r="W14" s="63">
        <f>Calcul!P218</f>
        <v>7.8048000000000006E-4</v>
      </c>
    </row>
    <row r="15" spans="1:23" ht="14.5" x14ac:dyDescent="0.25">
      <c r="A15" s="23" t="s">
        <v>51</v>
      </c>
      <c r="B15" s="10"/>
      <c r="C15" s="10"/>
      <c r="D15" s="10"/>
      <c r="E15" s="10"/>
      <c r="F15" s="10"/>
      <c r="G15" s="10"/>
      <c r="H15" s="10" t="s">
        <v>4</v>
      </c>
      <c r="I15" s="10"/>
      <c r="J15" s="10"/>
      <c r="K15" s="5"/>
      <c r="L15" s="64">
        <f>Calcul!J207</f>
        <v>9.6959999999999993E-4</v>
      </c>
      <c r="M15" s="61">
        <f>Calcul!J208</f>
        <v>8.7263999999999994E-4</v>
      </c>
      <c r="N15" s="61">
        <f>Calcul!J209</f>
        <v>7.9330909090909087E-4</v>
      </c>
      <c r="O15" s="61">
        <f>Calcul!J210</f>
        <v>7.272E-4</v>
      </c>
      <c r="P15" s="61">
        <f>Calcul!J211</f>
        <v>6.7126153846153841E-4</v>
      </c>
      <c r="Q15" s="61">
        <f>Calcul!J212</f>
        <v>6.233142857142857E-4</v>
      </c>
      <c r="R15" s="61">
        <f>Calcul!J213</f>
        <v>5.8175999999999996E-4</v>
      </c>
      <c r="S15" s="61">
        <f>Calcul!J214</f>
        <v>5.4540000000000003E-4</v>
      </c>
      <c r="T15" s="61">
        <f>Calcul!J215</f>
        <v>5.1331764705882352E-4</v>
      </c>
      <c r="U15" s="61">
        <f>Calcul!J216</f>
        <v>4.8479999999999997E-4</v>
      </c>
      <c r="V15" s="61">
        <f>Calcul!J217</f>
        <v>4.592842105263158E-4</v>
      </c>
      <c r="W15" s="62">
        <f>Calcul!J218</f>
        <v>4.3631999999999997E-4</v>
      </c>
    </row>
    <row r="16" spans="1:23" ht="14.5" x14ac:dyDescent="0.25">
      <c r="A16" s="23" t="s">
        <v>76</v>
      </c>
      <c r="B16" s="10" t="s">
        <v>4</v>
      </c>
      <c r="C16" s="10" t="s">
        <v>4</v>
      </c>
      <c r="D16" s="10" t="s">
        <v>4</v>
      </c>
      <c r="E16" s="10" t="s">
        <v>4</v>
      </c>
      <c r="F16" s="10"/>
      <c r="G16" s="10" t="s">
        <v>4</v>
      </c>
      <c r="H16" s="10" t="s">
        <v>4</v>
      </c>
      <c r="I16" s="10" t="s">
        <v>4</v>
      </c>
      <c r="J16" s="10" t="s">
        <v>4</v>
      </c>
      <c r="K16" s="5"/>
      <c r="L16" s="64">
        <f>Calcul!C249</f>
        <v>5.6586666666666669E-4</v>
      </c>
      <c r="M16" s="61">
        <f>Calcul!C250</f>
        <v>5.0927999999999998E-4</v>
      </c>
      <c r="N16" s="61">
        <f>Calcul!C251</f>
        <v>4.6298181818181815E-4</v>
      </c>
      <c r="O16" s="61">
        <f>Calcul!C252</f>
        <v>4.2439999999999996E-4</v>
      </c>
      <c r="P16" s="61">
        <f>Calcul!C253</f>
        <v>3.9175384615384616E-4</v>
      </c>
      <c r="Q16" s="61">
        <f>Calcul!C254</f>
        <v>3.6377142857142855E-4</v>
      </c>
      <c r="R16" s="61">
        <f>Calcul!C255</f>
        <v>3.3952E-4</v>
      </c>
      <c r="S16" s="61">
        <f>Calcul!C256</f>
        <v>3.1829999999999998E-4</v>
      </c>
      <c r="T16" s="61">
        <f>Calcul!C257</f>
        <v>2.9957647058823528E-4</v>
      </c>
      <c r="U16" s="61">
        <f>Calcul!C258</f>
        <v>2.8293333333333334E-4</v>
      </c>
      <c r="V16" s="61">
        <f>Calcul!C259</f>
        <v>2.6804210526315786E-4</v>
      </c>
      <c r="W16" s="62">
        <f>Calcul!C260</f>
        <v>2.5463999999999999E-4</v>
      </c>
    </row>
    <row r="17" spans="1:23" ht="17.25" customHeight="1" x14ac:dyDescent="0.25">
      <c r="A17" s="23" t="s">
        <v>75</v>
      </c>
      <c r="B17" s="10" t="s">
        <v>4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 t="s">
        <v>4</v>
      </c>
      <c r="K17" s="5"/>
      <c r="L17" s="61">
        <f>Calcul!$B$263</f>
        <v>1.95E-2</v>
      </c>
      <c r="M17" s="61">
        <f>Calcul!$B$263</f>
        <v>1.95E-2</v>
      </c>
      <c r="N17" s="61">
        <f>Calcul!$B$263</f>
        <v>1.95E-2</v>
      </c>
      <c r="O17" s="61">
        <f>Calcul!$B$263</f>
        <v>1.95E-2</v>
      </c>
      <c r="P17" s="61">
        <f>Calcul!$B$263</f>
        <v>1.95E-2</v>
      </c>
      <c r="Q17" s="61">
        <f>Calcul!$B$263</f>
        <v>1.95E-2</v>
      </c>
      <c r="R17" s="61">
        <f>Calcul!$B$263</f>
        <v>1.95E-2</v>
      </c>
      <c r="S17" s="61">
        <f>Calcul!$B$263</f>
        <v>1.95E-2</v>
      </c>
      <c r="T17" s="61">
        <f>Calcul!$B$263</f>
        <v>1.95E-2</v>
      </c>
      <c r="U17" s="61">
        <f>Calcul!$B$263</f>
        <v>1.95E-2</v>
      </c>
      <c r="V17" s="61">
        <f>Calcul!$B$263</f>
        <v>1.95E-2</v>
      </c>
      <c r="W17" s="62">
        <f>Calcul!$B$263</f>
        <v>1.95E-2</v>
      </c>
    </row>
    <row r="18" spans="1:23" ht="6" customHeight="1" x14ac:dyDescent="0.25">
      <c r="A18" s="23"/>
      <c r="B18" s="109"/>
      <c r="C18" s="109"/>
      <c r="D18" s="109"/>
      <c r="E18" s="109"/>
      <c r="F18" s="109"/>
      <c r="G18" s="109"/>
      <c r="H18" s="109"/>
      <c r="I18" s="109"/>
      <c r="J18" s="109"/>
      <c r="K18" s="110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2"/>
    </row>
    <row r="19" spans="1:23" ht="17.25" customHeight="1" x14ac:dyDescent="0.25">
      <c r="A19" s="114" t="s">
        <v>82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  <c r="L19" s="117">
        <f t="shared" ref="L19:W19" si="0">L10+L11+L17</f>
        <v>0.17450666666666667</v>
      </c>
      <c r="M19" s="117">
        <f t="shared" si="0"/>
        <v>0.170456</v>
      </c>
      <c r="N19" s="117">
        <f t="shared" si="0"/>
        <v>0.16714181818181817</v>
      </c>
      <c r="O19" s="117">
        <f t="shared" si="0"/>
        <v>0.16438</v>
      </c>
      <c r="P19" s="117">
        <f t="shared" si="0"/>
        <v>0.15588923076923075</v>
      </c>
      <c r="Q19" s="117">
        <f t="shared" si="0"/>
        <v>0.14718285714285714</v>
      </c>
      <c r="R19" s="117">
        <f t="shared" si="0"/>
        <v>0.13963733333333331</v>
      </c>
      <c r="S19" s="117">
        <f t="shared" si="0"/>
        <v>0.13303499999999999</v>
      </c>
      <c r="T19" s="117">
        <f t="shared" si="0"/>
        <v>0.12720941176470588</v>
      </c>
      <c r="U19" s="117">
        <f t="shared" si="0"/>
        <v>0.12203111111111112</v>
      </c>
      <c r="V19" s="117">
        <f t="shared" si="0"/>
        <v>0.1173978947368421</v>
      </c>
      <c r="W19" s="108">
        <f t="shared" si="0"/>
        <v>0.11322800000000001</v>
      </c>
    </row>
    <row r="20" spans="1:23" ht="17.25" customHeight="1" x14ac:dyDescent="0.25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5"/>
    </row>
    <row r="21" spans="1:23" ht="20.25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4"/>
      <c r="K21" s="124"/>
      <c r="L21" s="131" t="s">
        <v>42</v>
      </c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</row>
    <row r="22" spans="1:23" ht="15.75" customHeight="1" x14ac:dyDescent="0.25">
      <c r="A22" s="25" t="s">
        <v>39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9">
        <f t="shared" ref="L22:W22" si="1">L7+L9+L10+L11+L12+L13+L17+L16</f>
        <v>0.2273618544414226</v>
      </c>
      <c r="M22" s="9">
        <f t="shared" si="1"/>
        <v>0.21802566899728035</v>
      </c>
      <c r="N22" s="9">
        <f t="shared" si="1"/>
        <v>0.21038697181570939</v>
      </c>
      <c r="O22" s="9">
        <f t="shared" si="1"/>
        <v>0.20402139083106693</v>
      </c>
      <c r="P22" s="9">
        <f t="shared" si="1"/>
        <v>0.1924812838440618</v>
      </c>
      <c r="Q22" s="9">
        <f t="shared" si="1"/>
        <v>0.18116119214091453</v>
      </c>
      <c r="R22" s="9">
        <f t="shared" si="1"/>
        <v>0.17135044599818688</v>
      </c>
      <c r="S22" s="9">
        <f t="shared" si="1"/>
        <v>0.1627660431233002</v>
      </c>
      <c r="T22" s="9">
        <f t="shared" si="1"/>
        <v>0.1551915699984002</v>
      </c>
      <c r="U22" s="9">
        <f t="shared" si="1"/>
        <v>0.14845870499848907</v>
      </c>
      <c r="V22" s="9">
        <f t="shared" si="1"/>
        <v>0.14243456263014753</v>
      </c>
      <c r="W22" s="94">
        <f t="shared" si="1"/>
        <v>0.13701283449864018</v>
      </c>
    </row>
    <row r="23" spans="1:23" ht="15.75" customHeight="1" x14ac:dyDescent="0.25">
      <c r="A23" s="25" t="s">
        <v>3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9">
        <f t="shared" ref="L23:W23" si="2">L7+L9+L10+L11+L12+L17+L16</f>
        <v>0.22572260110808925</v>
      </c>
      <c r="M23" s="9">
        <f t="shared" si="2"/>
        <v>0.21655034099728035</v>
      </c>
      <c r="N23" s="9">
        <f t="shared" si="2"/>
        <v>0.20904576454298213</v>
      </c>
      <c r="O23" s="9">
        <f t="shared" si="2"/>
        <v>0.20279195083106694</v>
      </c>
      <c r="P23" s="9">
        <f t="shared" si="2"/>
        <v>0.1913464161517541</v>
      </c>
      <c r="Q23" s="9">
        <f t="shared" si="2"/>
        <v>0.18010738642662882</v>
      </c>
      <c r="R23" s="9">
        <f t="shared" si="2"/>
        <v>0.17036689399818689</v>
      </c>
      <c r="S23" s="9">
        <f t="shared" si="2"/>
        <v>0.16184396312330021</v>
      </c>
      <c r="T23" s="9">
        <f t="shared" si="2"/>
        <v>0.15432372999840019</v>
      </c>
      <c r="U23" s="9">
        <f t="shared" si="2"/>
        <v>0.14763907833182241</v>
      </c>
      <c r="V23" s="9">
        <f t="shared" si="2"/>
        <v>0.1416580742090949</v>
      </c>
      <c r="W23" s="94">
        <f t="shared" si="2"/>
        <v>0.13627517049864019</v>
      </c>
    </row>
    <row r="24" spans="1:23" ht="50" x14ac:dyDescent="0.25">
      <c r="A24" s="28" t="s">
        <v>14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9">
        <f t="shared" ref="L24:W24" si="3">L7+L9+L10+L11+L12+L13+L17+L16</f>
        <v>0.2273618544414226</v>
      </c>
      <c r="M24" s="9">
        <f t="shared" si="3"/>
        <v>0.21802566899728035</v>
      </c>
      <c r="N24" s="9">
        <f t="shared" si="3"/>
        <v>0.21038697181570939</v>
      </c>
      <c r="O24" s="9">
        <f t="shared" si="3"/>
        <v>0.20402139083106693</v>
      </c>
      <c r="P24" s="9">
        <f t="shared" si="3"/>
        <v>0.1924812838440618</v>
      </c>
      <c r="Q24" s="9">
        <f t="shared" si="3"/>
        <v>0.18116119214091453</v>
      </c>
      <c r="R24" s="9">
        <f t="shared" si="3"/>
        <v>0.17135044599818688</v>
      </c>
      <c r="S24" s="9">
        <f t="shared" si="3"/>
        <v>0.1627660431233002</v>
      </c>
      <c r="T24" s="9">
        <f t="shared" si="3"/>
        <v>0.1551915699984002</v>
      </c>
      <c r="U24" s="9">
        <f t="shared" si="3"/>
        <v>0.14845870499848907</v>
      </c>
      <c r="V24" s="9">
        <f t="shared" si="3"/>
        <v>0.14243456263014753</v>
      </c>
      <c r="W24" s="94">
        <f t="shared" si="3"/>
        <v>0.13701283449864018</v>
      </c>
    </row>
    <row r="25" spans="1:23" s="60" customFormat="1" ht="15.75" customHeight="1" x14ac:dyDescent="0.25">
      <c r="A25" s="75" t="s">
        <v>2</v>
      </c>
      <c r="B25" s="76"/>
      <c r="C25" s="76"/>
      <c r="D25" s="76"/>
      <c r="E25" s="76"/>
      <c r="F25" s="76"/>
      <c r="G25" s="76"/>
      <c r="H25" s="76"/>
      <c r="I25" s="76"/>
      <c r="J25" s="76"/>
      <c r="K25" s="77"/>
      <c r="L25" s="78">
        <f t="shared" ref="L25:W25" si="4">L7+L9+L10+L11+L12+L14+L17+L16</f>
        <v>0.22745700110808925</v>
      </c>
      <c r="M25" s="78">
        <f t="shared" si="4"/>
        <v>0.21811130099728035</v>
      </c>
      <c r="N25" s="78">
        <f t="shared" si="4"/>
        <v>0.21046481908843667</v>
      </c>
      <c r="O25" s="78">
        <f t="shared" si="4"/>
        <v>0.20409275083106693</v>
      </c>
      <c r="P25" s="78">
        <f t="shared" si="4"/>
        <v>0.19254715461329255</v>
      </c>
      <c r="Q25" s="78">
        <f t="shared" si="4"/>
        <v>0.18122235785520024</v>
      </c>
      <c r="R25" s="78">
        <f t="shared" si="4"/>
        <v>0.1714075339981869</v>
      </c>
      <c r="S25" s="78">
        <f t="shared" si="4"/>
        <v>0.1628195631233002</v>
      </c>
      <c r="T25" s="78">
        <f t="shared" si="4"/>
        <v>0.15524194176310607</v>
      </c>
      <c r="U25" s="78">
        <f t="shared" si="4"/>
        <v>0.14850627833182242</v>
      </c>
      <c r="V25" s="78">
        <f t="shared" si="4"/>
        <v>0.14247963210383174</v>
      </c>
      <c r="W25" s="95">
        <f t="shared" si="4"/>
        <v>0.13705565049864019</v>
      </c>
    </row>
    <row r="26" spans="1:23" ht="15.75" customHeight="1" x14ac:dyDescent="0.25">
      <c r="A26" s="23" t="s">
        <v>7</v>
      </c>
      <c r="B26" s="29" t="s">
        <v>78</v>
      </c>
      <c r="C26" s="4"/>
      <c r="D26" s="4"/>
      <c r="E26" s="4"/>
      <c r="F26" s="4"/>
      <c r="G26" s="4"/>
      <c r="H26" s="4"/>
      <c r="I26" s="4"/>
      <c r="J26" s="4"/>
      <c r="K26" s="5"/>
      <c r="L26" s="9">
        <f t="shared" ref="L26:W26" si="5">L7+L9+L12+L17</f>
        <v>7.0150067774755936E-2</v>
      </c>
      <c r="M26" s="9">
        <f t="shared" si="5"/>
        <v>6.5085060997280342E-2</v>
      </c>
      <c r="N26" s="9">
        <f t="shared" si="5"/>
        <v>6.0940964542982132E-2</v>
      </c>
      <c r="O26" s="9">
        <f t="shared" si="5"/>
        <v>5.748755083106695E-2</v>
      </c>
      <c r="P26" s="9">
        <f t="shared" si="5"/>
        <v>5.4565431536369502E-2</v>
      </c>
      <c r="Q26" s="9">
        <f t="shared" si="5"/>
        <v>5.2060757855200243E-2</v>
      </c>
      <c r="R26" s="9">
        <f t="shared" si="5"/>
        <v>4.9890040664853565E-2</v>
      </c>
      <c r="S26" s="9">
        <f t="shared" si="5"/>
        <v>4.799066312330022E-2</v>
      </c>
      <c r="T26" s="9">
        <f t="shared" si="5"/>
        <v>4.6314741763106085E-2</v>
      </c>
      <c r="U26" s="9">
        <f t="shared" si="5"/>
        <v>4.482503388737797E-2</v>
      </c>
      <c r="V26" s="9">
        <f t="shared" si="5"/>
        <v>4.3492137366989661E-2</v>
      </c>
      <c r="W26" s="94">
        <f t="shared" si="5"/>
        <v>4.2292530498640173E-2</v>
      </c>
    </row>
    <row r="27" spans="1:23" ht="15.75" customHeight="1" x14ac:dyDescent="0.25">
      <c r="A27" s="25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9">
        <f t="shared" ref="L27:W27" si="6">L7+L9+L11+L12+L17+L16</f>
        <v>0.12572260110808928</v>
      </c>
      <c r="M27" s="9">
        <f t="shared" si="6"/>
        <v>0.11655034099728036</v>
      </c>
      <c r="N27" s="9">
        <f t="shared" si="6"/>
        <v>0.10904576454298212</v>
      </c>
      <c r="O27" s="9">
        <f t="shared" si="6"/>
        <v>0.10279195083106697</v>
      </c>
      <c r="P27" s="9">
        <f t="shared" si="6"/>
        <v>9.7500262305600272E-2</v>
      </c>
      <c r="Q27" s="9">
        <f t="shared" si="6"/>
        <v>9.2964529283771677E-2</v>
      </c>
      <c r="R27" s="9">
        <f t="shared" si="6"/>
        <v>8.9033560664853573E-2</v>
      </c>
      <c r="S27" s="9">
        <f t="shared" si="6"/>
        <v>8.5593963123300212E-2</v>
      </c>
      <c r="T27" s="9">
        <f t="shared" si="6"/>
        <v>8.2559024116047264E-2</v>
      </c>
      <c r="U27" s="9">
        <f t="shared" si="6"/>
        <v>7.9861300554044626E-2</v>
      </c>
      <c r="V27" s="9">
        <f t="shared" si="6"/>
        <v>7.7447547893305449E-2</v>
      </c>
      <c r="W27" s="94">
        <f t="shared" si="6"/>
        <v>7.5275170498640173E-2</v>
      </c>
    </row>
    <row r="28" spans="1:23" ht="15.75" customHeight="1" x14ac:dyDescent="0.25">
      <c r="A28" s="23" t="s">
        <v>13</v>
      </c>
      <c r="B28" s="7"/>
      <c r="C28" s="7"/>
      <c r="D28" s="7"/>
      <c r="E28" s="7"/>
      <c r="F28" s="7"/>
      <c r="G28" s="7"/>
      <c r="H28" s="7"/>
      <c r="I28" s="7"/>
      <c r="J28" s="7"/>
      <c r="K28" s="8"/>
      <c r="L28" s="9">
        <f t="shared" ref="L28:W28" si="7">L7+L9+L11+L12+L15+L17+L16</f>
        <v>0.12669220110808926</v>
      </c>
      <c r="M28" s="9">
        <f t="shared" si="7"/>
        <v>0.11742298099728035</v>
      </c>
      <c r="N28" s="9">
        <f t="shared" si="7"/>
        <v>0.10983907363389121</v>
      </c>
      <c r="O28" s="9">
        <f t="shared" si="7"/>
        <v>0.10351915083106697</v>
      </c>
      <c r="P28" s="9">
        <f t="shared" si="7"/>
        <v>9.8171523844061803E-2</v>
      </c>
      <c r="Q28" s="9">
        <f t="shared" si="7"/>
        <v>9.3587843569485962E-2</v>
      </c>
      <c r="R28" s="9">
        <f t="shared" si="7"/>
        <v>8.9615320664853573E-2</v>
      </c>
      <c r="S28" s="9">
        <f t="shared" si="7"/>
        <v>8.6139363123300214E-2</v>
      </c>
      <c r="T28" s="9">
        <f t="shared" si="7"/>
        <v>8.3072341763106086E-2</v>
      </c>
      <c r="U28" s="9">
        <f t="shared" si="7"/>
        <v>8.0346100554044633E-2</v>
      </c>
      <c r="V28" s="9">
        <f t="shared" si="7"/>
        <v>7.7906832103831758E-2</v>
      </c>
      <c r="W28" s="94">
        <f t="shared" si="7"/>
        <v>7.5711490498640177E-2</v>
      </c>
    </row>
    <row r="29" spans="1:23" ht="15.75" customHeight="1" x14ac:dyDescent="0.25">
      <c r="A29" s="26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16">
        <f t="shared" ref="L29:W29" si="8">L7+L11+L17+L16</f>
        <v>0.12353991196974802</v>
      </c>
      <c r="M29" s="16">
        <f t="shared" si="8"/>
        <v>0.11458592077277323</v>
      </c>
      <c r="N29" s="16">
        <f t="shared" si="8"/>
        <v>0.10725992797524839</v>
      </c>
      <c r="O29" s="16">
        <f t="shared" si="8"/>
        <v>0.10115493397731104</v>
      </c>
      <c r="P29" s="16">
        <f t="shared" si="8"/>
        <v>9.5989169825210191E-2</v>
      </c>
      <c r="Q29" s="16">
        <f t="shared" si="8"/>
        <v>9.1561371980552309E-2</v>
      </c>
      <c r="R29" s="16">
        <f t="shared" si="8"/>
        <v>8.772394718184881E-2</v>
      </c>
      <c r="S29" s="16">
        <f t="shared" si="8"/>
        <v>8.4366200482983253E-2</v>
      </c>
      <c r="T29" s="16">
        <f t="shared" si="8"/>
        <v>8.1403482807513652E-2</v>
      </c>
      <c r="U29" s="16">
        <f t="shared" si="8"/>
        <v>7.8769955984874004E-2</v>
      </c>
      <c r="V29" s="16">
        <f t="shared" si="8"/>
        <v>7.6413642511985902E-2</v>
      </c>
      <c r="W29" s="96">
        <f t="shared" si="8"/>
        <v>7.4292960386386608E-2</v>
      </c>
    </row>
    <row r="30" spans="1:23" ht="15.75" customHeight="1" x14ac:dyDescent="0.25">
      <c r="A30" s="26" t="s">
        <v>38</v>
      </c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6">
        <f t="shared" ref="L30:W30" si="9">L7+L9+L11+L12+L13+L17+L10+L16</f>
        <v>0.2273618544414226</v>
      </c>
      <c r="M30" s="16">
        <f t="shared" si="9"/>
        <v>0.21802566899728038</v>
      </c>
      <c r="N30" s="16">
        <f t="shared" si="9"/>
        <v>0.21038697181570942</v>
      </c>
      <c r="O30" s="16">
        <f t="shared" si="9"/>
        <v>0.20402139083106696</v>
      </c>
      <c r="P30" s="16">
        <f t="shared" si="9"/>
        <v>0.1924812838440618</v>
      </c>
      <c r="Q30" s="16">
        <f t="shared" si="9"/>
        <v>0.18116119214091456</v>
      </c>
      <c r="R30" s="16">
        <f t="shared" si="9"/>
        <v>0.17135044599818691</v>
      </c>
      <c r="S30" s="16">
        <f t="shared" si="9"/>
        <v>0.16276604312330023</v>
      </c>
      <c r="T30" s="16">
        <f t="shared" si="9"/>
        <v>0.1551915699984002</v>
      </c>
      <c r="U30" s="16">
        <f t="shared" si="9"/>
        <v>0.14845870499848909</v>
      </c>
      <c r="V30" s="16">
        <f t="shared" si="9"/>
        <v>0.14243456263014753</v>
      </c>
      <c r="W30" s="96">
        <f t="shared" si="9"/>
        <v>0.13701283449864018</v>
      </c>
    </row>
    <row r="31" spans="1:23" x14ac:dyDescent="0.2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9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20"/>
    </row>
    <row r="32" spans="1:23" ht="14.5" x14ac:dyDescent="0.25">
      <c r="A32" s="65" t="s">
        <v>115</v>
      </c>
      <c r="B32" s="66"/>
      <c r="C32" s="66"/>
      <c r="D32" s="66"/>
      <c r="E32" s="66"/>
      <c r="F32" s="66"/>
      <c r="G32" s="66"/>
      <c r="H32" s="66"/>
      <c r="I32" s="66"/>
      <c r="J32" s="66"/>
      <c r="K32" s="67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8"/>
    </row>
    <row r="33" spans="1:23" ht="14.5" x14ac:dyDescent="0.25">
      <c r="A33" s="65" t="s">
        <v>116</v>
      </c>
      <c r="B33" s="66"/>
      <c r="C33" s="66"/>
      <c r="D33" s="66"/>
      <c r="E33" s="66"/>
      <c r="F33" s="66"/>
      <c r="G33" s="66"/>
      <c r="H33" s="66"/>
      <c r="I33" s="66"/>
      <c r="J33" s="66"/>
      <c r="K33" s="67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8"/>
    </row>
    <row r="34" spans="1:23" ht="14.5" x14ac:dyDescent="0.25">
      <c r="A34" s="65" t="s">
        <v>117</v>
      </c>
      <c r="B34" s="66"/>
      <c r="C34" s="66"/>
      <c r="D34" s="66"/>
      <c r="E34" s="66"/>
      <c r="F34" s="66"/>
      <c r="G34" s="66"/>
      <c r="H34" s="66"/>
      <c r="I34" s="66"/>
      <c r="J34" s="66"/>
      <c r="K34" s="67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8"/>
    </row>
    <row r="35" spans="1:23" ht="14.5" x14ac:dyDescent="0.25">
      <c r="A35" s="65" t="s">
        <v>109</v>
      </c>
      <c r="B35" s="66"/>
      <c r="C35" s="66"/>
      <c r="D35" s="66"/>
      <c r="E35" s="66"/>
      <c r="F35" s="66"/>
      <c r="G35" s="66"/>
      <c r="H35" s="66"/>
      <c r="I35" s="66"/>
      <c r="J35" s="66"/>
      <c r="K35" s="67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8"/>
    </row>
    <row r="36" spans="1:23" ht="14.5" x14ac:dyDescent="0.25">
      <c r="A36" s="65" t="s">
        <v>90</v>
      </c>
      <c r="B36" s="66"/>
      <c r="C36" s="66"/>
      <c r="D36" s="66"/>
      <c r="E36" s="66"/>
      <c r="F36" s="66"/>
      <c r="G36" s="66"/>
      <c r="H36" s="66"/>
      <c r="I36" s="66"/>
      <c r="J36" s="66"/>
      <c r="K36" s="67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8"/>
    </row>
    <row r="37" spans="1:23" ht="14.5" x14ac:dyDescent="0.25">
      <c r="A37" s="65" t="s">
        <v>107</v>
      </c>
      <c r="B37" s="66"/>
      <c r="C37" s="66"/>
      <c r="D37" s="66"/>
      <c r="E37" s="66"/>
      <c r="F37" s="66"/>
      <c r="G37" s="66"/>
      <c r="H37" s="66"/>
      <c r="I37" s="66"/>
      <c r="J37" s="66"/>
      <c r="K37" s="67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8"/>
    </row>
    <row r="38" spans="1:23" ht="14.5" x14ac:dyDescent="0.25">
      <c r="A38" s="65" t="s">
        <v>121</v>
      </c>
      <c r="B38" s="66"/>
      <c r="C38" s="66"/>
      <c r="D38" s="66"/>
      <c r="E38" s="66"/>
      <c r="F38" s="66"/>
      <c r="G38" s="66"/>
      <c r="H38" s="66"/>
      <c r="I38" s="66"/>
      <c r="J38" s="66"/>
      <c r="K38" s="67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8"/>
    </row>
    <row r="39" spans="1:23" ht="14.5" x14ac:dyDescent="0.25">
      <c r="A39" s="65" t="s">
        <v>119</v>
      </c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8"/>
    </row>
    <row r="40" spans="1:23" ht="14.5" x14ac:dyDescent="0.25">
      <c r="A40" s="65" t="s">
        <v>86</v>
      </c>
      <c r="B40" s="66"/>
      <c r="C40" s="66"/>
      <c r="D40" s="66"/>
      <c r="E40" s="66"/>
      <c r="F40" s="66"/>
      <c r="G40" s="66"/>
      <c r="H40" s="66"/>
      <c r="I40" s="66"/>
      <c r="J40" s="66"/>
      <c r="K40" s="67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8"/>
    </row>
    <row r="41" spans="1:23" ht="14.5" x14ac:dyDescent="0.25">
      <c r="A41" s="65" t="s">
        <v>94</v>
      </c>
      <c r="B41" s="66"/>
      <c r="C41" s="66"/>
      <c r="D41" s="66"/>
      <c r="E41" s="66"/>
      <c r="F41" s="66"/>
      <c r="G41" s="66"/>
      <c r="H41" s="66"/>
      <c r="I41" s="66"/>
      <c r="J41" s="66"/>
      <c r="K41" s="67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8"/>
    </row>
    <row r="42" spans="1:23" ht="14.5" x14ac:dyDescent="0.25">
      <c r="A42" s="65" t="s">
        <v>83</v>
      </c>
      <c r="B42" s="66"/>
      <c r="C42" s="66"/>
      <c r="D42" s="66"/>
      <c r="E42" s="66"/>
      <c r="F42" s="66"/>
      <c r="G42" s="66"/>
      <c r="H42" s="66"/>
      <c r="I42" s="66"/>
      <c r="J42" s="66"/>
      <c r="K42" s="67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8"/>
    </row>
    <row r="43" spans="1:23" ht="14.5" x14ac:dyDescent="0.25">
      <c r="A43" s="65" t="s">
        <v>77</v>
      </c>
      <c r="B43" s="66"/>
      <c r="C43" s="66"/>
      <c r="D43" s="66"/>
      <c r="E43" s="66"/>
      <c r="F43" s="66"/>
      <c r="G43" s="66"/>
      <c r="H43" s="66"/>
      <c r="I43" s="66"/>
      <c r="J43" s="66"/>
      <c r="K43" s="67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8"/>
    </row>
    <row r="44" spans="1:23" ht="14.5" x14ac:dyDescent="0.25">
      <c r="A44" s="65" t="s">
        <v>95</v>
      </c>
      <c r="B44" s="66"/>
      <c r="C44" s="66"/>
      <c r="D44" s="66"/>
      <c r="E44" s="66"/>
      <c r="F44" s="66"/>
      <c r="G44" s="66"/>
      <c r="H44" s="66"/>
      <c r="I44" s="66"/>
      <c r="J44" s="66"/>
      <c r="K44" s="67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8"/>
    </row>
    <row r="45" spans="1:23" ht="4.5" customHeight="1" x14ac:dyDescent="0.25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7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8"/>
    </row>
    <row r="46" spans="1:23" x14ac:dyDescent="0.25">
      <c r="A46" s="118" t="s">
        <v>118</v>
      </c>
      <c r="B46" s="66"/>
      <c r="C46" s="66"/>
      <c r="D46" s="66"/>
      <c r="E46" s="66"/>
      <c r="F46" s="66"/>
      <c r="G46" s="66"/>
      <c r="H46" s="66"/>
      <c r="I46" s="66"/>
      <c r="J46" s="66"/>
      <c r="K46" s="67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8"/>
    </row>
    <row r="47" spans="1:23" ht="7" customHeight="1" x14ac:dyDescent="0.25">
      <c r="A47" s="105"/>
      <c r="B47" s="69"/>
      <c r="C47" s="69"/>
      <c r="D47" s="69"/>
      <c r="E47" s="69"/>
      <c r="F47" s="69"/>
      <c r="G47" s="69"/>
      <c r="H47" s="69"/>
      <c r="I47" s="69"/>
      <c r="J47" s="69"/>
      <c r="K47" s="70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71"/>
    </row>
  </sheetData>
  <mergeCells count="8">
    <mergeCell ref="A21:K21"/>
    <mergeCell ref="A4:K4"/>
    <mergeCell ref="A1:W1"/>
    <mergeCell ref="L21:W21"/>
    <mergeCell ref="A2:W2"/>
    <mergeCell ref="A3:W3"/>
    <mergeCell ref="L4:W4"/>
    <mergeCell ref="A20:W20"/>
  </mergeCells>
  <phoneticPr fontId="0" type="noConversion"/>
  <printOptions horizontalCentered="1"/>
  <pageMargins left="0.25" right="0.25" top="0.25" bottom="0" header="0.5" footer="0.25"/>
  <pageSetup paperSize="5" scale="64" orientation="landscape" r:id="rId1"/>
  <headerFooter alignWithMargins="0">
    <oddFooter>&amp;R&amp;F, &amp;D</oddFooter>
  </headerFooter>
  <rowBreaks count="1" manualBreakCount="1">
    <brk id="47" max="16383" man="1"/>
  </rowBreaks>
  <colBreaks count="1" manualBreakCount="1">
    <brk id="23" max="1048575" man="1"/>
  </col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291"/>
  <sheetViews>
    <sheetView topLeftCell="A261" workbookViewId="0">
      <selection activeCell="D193" sqref="D193"/>
    </sheetView>
  </sheetViews>
  <sheetFormatPr defaultRowHeight="12.5" x14ac:dyDescent="0.25"/>
  <cols>
    <col min="1" max="1" width="23.81640625" customWidth="1"/>
    <col min="2" max="2" width="30.54296875" bestFit="1" customWidth="1"/>
    <col min="3" max="3" width="19.26953125" style="31" bestFit="1" customWidth="1"/>
    <col min="4" max="4" width="12.26953125" bestFit="1" customWidth="1"/>
    <col min="5" max="5" width="14" bestFit="1" customWidth="1"/>
    <col min="6" max="6" width="34.453125" style="32" customWidth="1"/>
    <col min="7" max="7" width="25.1796875" style="33" bestFit="1" customWidth="1"/>
    <col min="8" max="8" width="11.26953125" bestFit="1" customWidth="1"/>
    <col min="10" max="10" width="35.81640625" bestFit="1" customWidth="1"/>
    <col min="11" max="11" width="11.1796875" bestFit="1" customWidth="1"/>
    <col min="12" max="12" width="9.54296875" bestFit="1" customWidth="1"/>
    <col min="13" max="13" width="25.54296875" bestFit="1" customWidth="1"/>
    <col min="14" max="14" width="11.26953125" bestFit="1" customWidth="1"/>
  </cols>
  <sheetData>
    <row r="1" spans="1:14" ht="13" x14ac:dyDescent="0.3">
      <c r="A1" s="30" t="s">
        <v>15</v>
      </c>
    </row>
    <row r="2" spans="1:14" x14ac:dyDescent="0.25">
      <c r="H2" s="100" t="s">
        <v>52</v>
      </c>
    </row>
    <row r="3" spans="1:14" x14ac:dyDescent="0.25">
      <c r="D3" s="52"/>
      <c r="H3" s="100" t="s">
        <v>103</v>
      </c>
      <c r="J3" s="31"/>
      <c r="K3" s="52">
        <f>('Medical &amp; Dental'!F25*6)+('Medical &amp; Dental'!F27*6)</f>
        <v>29840000</v>
      </c>
      <c r="M3" s="32"/>
      <c r="N3" s="33"/>
    </row>
    <row r="4" spans="1:14" x14ac:dyDescent="0.25">
      <c r="F4" s="101"/>
      <c r="G4" s="82"/>
      <c r="J4" s="31"/>
      <c r="M4" s="101"/>
      <c r="N4" s="82"/>
    </row>
    <row r="5" spans="1:14" ht="14" x14ac:dyDescent="0.4">
      <c r="D5" s="54"/>
      <c r="F5" s="101"/>
      <c r="G5" s="81"/>
      <c r="H5" s="100" t="s">
        <v>104</v>
      </c>
      <c r="J5" s="31"/>
      <c r="K5" s="54">
        <f>'Medical &amp; Dental'!F30</f>
        <v>6509</v>
      </c>
      <c r="M5" s="101"/>
      <c r="N5" s="81"/>
    </row>
    <row r="6" spans="1:14" x14ac:dyDescent="0.25">
      <c r="G6" s="83"/>
      <c r="J6" s="31"/>
      <c r="M6" s="32"/>
      <c r="N6" s="83"/>
    </row>
    <row r="7" spans="1:14" x14ac:dyDescent="0.25">
      <c r="J7" s="31"/>
      <c r="M7" s="32"/>
      <c r="N7" s="33"/>
    </row>
    <row r="8" spans="1:14" x14ac:dyDescent="0.25">
      <c r="B8" s="31"/>
      <c r="C8" s="35" t="s">
        <v>63</v>
      </c>
      <c r="D8" s="55">
        <f>'Medical &amp; Dental'!C14</f>
        <v>11553.452544086264</v>
      </c>
      <c r="F8" s="74"/>
      <c r="I8" s="31"/>
      <c r="J8" s="35"/>
      <c r="K8" s="55">
        <f>K3/K5</f>
        <v>4584.4215701336607</v>
      </c>
      <c r="M8" s="74"/>
      <c r="N8" s="33"/>
    </row>
    <row r="9" spans="1:14" x14ac:dyDescent="0.25">
      <c r="B9" t="s">
        <v>16</v>
      </c>
      <c r="C9" s="35" t="s">
        <v>62</v>
      </c>
      <c r="D9" s="55">
        <f>'Medical &amp; Dental'!D14</f>
        <v>10905.160193193306</v>
      </c>
      <c r="F9" s="74"/>
      <c r="I9" t="s">
        <v>16</v>
      </c>
      <c r="J9" s="31"/>
      <c r="M9" s="74"/>
      <c r="N9" s="33"/>
    </row>
    <row r="10" spans="1:14" x14ac:dyDescent="0.25">
      <c r="A10">
        <v>10000</v>
      </c>
      <c r="B10" s="36">
        <f>$D$8</f>
        <v>11553.452544086264</v>
      </c>
      <c r="C10" s="37">
        <f t="shared" ref="C10:C29" si="0">B10/A10</f>
        <v>1.1553452544086265</v>
      </c>
      <c r="D10" s="38"/>
      <c r="E10" s="31"/>
      <c r="F10" s="74"/>
      <c r="H10">
        <v>10000</v>
      </c>
      <c r="I10" s="36">
        <f>$K$8</f>
        <v>4584.4215701336607</v>
      </c>
      <c r="J10" s="37">
        <f>I10/H10</f>
        <v>0.45844215701336605</v>
      </c>
      <c r="K10" s="38"/>
      <c r="L10" s="31"/>
      <c r="M10" s="74"/>
      <c r="N10" s="33"/>
    </row>
    <row r="11" spans="1:14" x14ac:dyDescent="0.25">
      <c r="A11">
        <v>20000</v>
      </c>
      <c r="B11" s="36">
        <f>$D$8</f>
        <v>11553.452544086264</v>
      </c>
      <c r="C11" s="37">
        <f t="shared" si="0"/>
        <v>0.57767262720431323</v>
      </c>
      <c r="D11" s="38"/>
      <c r="E11" s="31"/>
      <c r="F11" s="74"/>
      <c r="H11">
        <v>20000</v>
      </c>
      <c r="I11" s="36">
        <f t="shared" ref="I11:I41" si="1">$K$8</f>
        <v>4584.4215701336607</v>
      </c>
      <c r="J11" s="37">
        <f t="shared" ref="J11:J41" si="2">I11/H11</f>
        <v>0.22922107850668302</v>
      </c>
      <c r="K11" s="38"/>
      <c r="L11" s="31"/>
      <c r="M11" s="74"/>
      <c r="N11" s="33"/>
    </row>
    <row r="12" spans="1:14" x14ac:dyDescent="0.25">
      <c r="A12">
        <v>30000</v>
      </c>
      <c r="B12" s="36">
        <f>$D$8</f>
        <v>11553.452544086264</v>
      </c>
      <c r="C12" s="37">
        <f t="shared" si="0"/>
        <v>0.38511508480287543</v>
      </c>
      <c r="D12" s="38"/>
      <c r="E12" s="31"/>
      <c r="H12">
        <v>30000</v>
      </c>
      <c r="I12" s="36">
        <f t="shared" si="1"/>
        <v>4584.4215701336607</v>
      </c>
      <c r="J12" s="37">
        <f t="shared" si="2"/>
        <v>0.15281405233778869</v>
      </c>
      <c r="K12" s="38"/>
      <c r="L12" s="31"/>
      <c r="M12" s="32"/>
      <c r="N12" s="33"/>
    </row>
    <row r="13" spans="1:14" x14ac:dyDescent="0.25">
      <c r="A13">
        <v>40000</v>
      </c>
      <c r="B13" s="36">
        <f>$D$8</f>
        <v>11553.452544086264</v>
      </c>
      <c r="C13" s="37">
        <f t="shared" si="0"/>
        <v>0.28883631360215661</v>
      </c>
      <c r="D13" s="38"/>
      <c r="E13" s="31"/>
      <c r="H13">
        <v>40000</v>
      </c>
      <c r="I13" s="36">
        <f t="shared" si="1"/>
        <v>4584.4215701336607</v>
      </c>
      <c r="J13" s="37">
        <f t="shared" si="2"/>
        <v>0.11461053925334151</v>
      </c>
      <c r="K13" s="38"/>
      <c r="L13" s="31"/>
      <c r="M13" s="32"/>
      <c r="N13" s="33"/>
    </row>
    <row r="14" spans="1:14" x14ac:dyDescent="0.25">
      <c r="A14">
        <v>50000</v>
      </c>
      <c r="B14" s="36">
        <f>D8-((D8-D9)*(2/19.8))</f>
        <v>11487.96846823849</v>
      </c>
      <c r="C14" s="37">
        <f t="shared" si="0"/>
        <v>0.22975936936476982</v>
      </c>
      <c r="D14" s="38"/>
      <c r="E14" s="31"/>
      <c r="H14">
        <v>50000</v>
      </c>
      <c r="I14" s="36">
        <f t="shared" si="1"/>
        <v>4584.4215701336607</v>
      </c>
      <c r="J14" s="37">
        <f t="shared" si="2"/>
        <v>9.1688431402673215E-2</v>
      </c>
      <c r="K14" s="38"/>
      <c r="L14" s="31"/>
      <c r="M14" s="32"/>
      <c r="N14" s="33"/>
    </row>
    <row r="15" spans="1:14" x14ac:dyDescent="0.25">
      <c r="A15">
        <v>60000</v>
      </c>
      <c r="B15" s="36">
        <f>D8-((D8-D9)*(12/19.8))</f>
        <v>11160.548088999622</v>
      </c>
      <c r="C15" s="37">
        <f t="shared" si="0"/>
        <v>0.18600913481666037</v>
      </c>
      <c r="D15" s="38"/>
      <c r="E15" s="31"/>
      <c r="H15">
        <v>60000</v>
      </c>
      <c r="I15" s="36">
        <f t="shared" si="1"/>
        <v>4584.4215701336607</v>
      </c>
      <c r="J15" s="37">
        <f t="shared" si="2"/>
        <v>7.6407026168894346E-2</v>
      </c>
      <c r="K15" s="38"/>
      <c r="L15" s="31"/>
      <c r="M15" s="32"/>
      <c r="N15" s="33"/>
    </row>
    <row r="16" spans="1:14" x14ac:dyDescent="0.25">
      <c r="A16">
        <v>70000</v>
      </c>
      <c r="B16" s="36">
        <f t="shared" ref="B16:B41" si="3">$D$9</f>
        <v>10905.160193193306</v>
      </c>
      <c r="C16" s="37">
        <f t="shared" si="0"/>
        <v>0.15578800275990437</v>
      </c>
      <c r="D16" s="38"/>
      <c r="E16" s="31"/>
      <c r="H16">
        <v>70000</v>
      </c>
      <c r="I16" s="36">
        <f t="shared" si="1"/>
        <v>4584.4215701336607</v>
      </c>
      <c r="J16" s="37">
        <f t="shared" si="2"/>
        <v>6.5491736716195154E-2</v>
      </c>
      <c r="K16" s="38"/>
      <c r="L16" s="31"/>
      <c r="M16" s="32"/>
      <c r="N16" s="33"/>
    </row>
    <row r="17" spans="1:14" x14ac:dyDescent="0.25">
      <c r="A17">
        <v>80000</v>
      </c>
      <c r="B17" s="36">
        <f t="shared" si="3"/>
        <v>10905.160193193306</v>
      </c>
      <c r="C17" s="37">
        <f t="shared" si="0"/>
        <v>0.13631450241491633</v>
      </c>
      <c r="D17" s="38"/>
      <c r="E17" s="31"/>
      <c r="H17">
        <v>80000</v>
      </c>
      <c r="I17" s="36">
        <f t="shared" si="1"/>
        <v>4584.4215701336607</v>
      </c>
      <c r="J17" s="37">
        <f t="shared" si="2"/>
        <v>5.7305269626670756E-2</v>
      </c>
      <c r="K17" s="38"/>
      <c r="L17" s="31"/>
      <c r="M17" s="32"/>
      <c r="N17" s="33"/>
    </row>
    <row r="18" spans="1:14" x14ac:dyDescent="0.25">
      <c r="A18">
        <v>90000</v>
      </c>
      <c r="B18" s="36">
        <f t="shared" si="3"/>
        <v>10905.160193193306</v>
      </c>
      <c r="C18" s="37">
        <f t="shared" si="0"/>
        <v>0.12116844659103673</v>
      </c>
      <c r="D18" s="38"/>
      <c r="E18" s="31"/>
      <c r="H18">
        <v>90000</v>
      </c>
      <c r="I18" s="36">
        <f t="shared" si="1"/>
        <v>4584.4215701336607</v>
      </c>
      <c r="J18" s="37">
        <f t="shared" si="2"/>
        <v>5.0938017445929566E-2</v>
      </c>
      <c r="K18" s="38"/>
      <c r="L18" s="31"/>
      <c r="M18" s="32"/>
      <c r="N18" s="33"/>
    </row>
    <row r="19" spans="1:14" x14ac:dyDescent="0.25">
      <c r="A19">
        <v>100000</v>
      </c>
      <c r="B19" s="36">
        <f t="shared" si="3"/>
        <v>10905.160193193306</v>
      </c>
      <c r="C19" s="37">
        <f t="shared" si="0"/>
        <v>0.10905160193193306</v>
      </c>
      <c r="D19" s="38"/>
      <c r="E19" s="31"/>
      <c r="H19">
        <v>100000</v>
      </c>
      <c r="I19" s="36">
        <f t="shared" si="1"/>
        <v>4584.4215701336607</v>
      </c>
      <c r="J19" s="37">
        <f t="shared" si="2"/>
        <v>4.5844215701336608E-2</v>
      </c>
      <c r="K19" s="38"/>
      <c r="L19" s="31"/>
      <c r="M19" s="32"/>
      <c r="N19" s="33"/>
    </row>
    <row r="20" spans="1:14" x14ac:dyDescent="0.25">
      <c r="A20">
        <v>110000</v>
      </c>
      <c r="B20" s="36">
        <f t="shared" si="3"/>
        <v>10905.160193193306</v>
      </c>
      <c r="C20" s="37">
        <f t="shared" si="0"/>
        <v>9.9137819938120958E-2</v>
      </c>
      <c r="D20" s="38"/>
      <c r="E20" s="31"/>
      <c r="H20">
        <v>110000</v>
      </c>
      <c r="I20" s="36">
        <f t="shared" si="1"/>
        <v>4584.4215701336607</v>
      </c>
      <c r="J20" s="37">
        <f t="shared" si="2"/>
        <v>4.1676559728487828E-2</v>
      </c>
      <c r="K20" s="38"/>
      <c r="L20" s="31"/>
      <c r="M20" s="32"/>
      <c r="N20" s="33"/>
    </row>
    <row r="21" spans="1:14" x14ac:dyDescent="0.25">
      <c r="A21">
        <v>120000</v>
      </c>
      <c r="B21" s="36">
        <f t="shared" si="3"/>
        <v>10905.160193193306</v>
      </c>
      <c r="C21" s="37">
        <f t="shared" si="0"/>
        <v>9.0876334943277542E-2</v>
      </c>
      <c r="D21" s="38"/>
      <c r="E21" s="31"/>
      <c r="H21">
        <v>120000</v>
      </c>
      <c r="I21" s="36">
        <f t="shared" si="1"/>
        <v>4584.4215701336607</v>
      </c>
      <c r="J21" s="37">
        <f t="shared" si="2"/>
        <v>3.8203513084447173E-2</v>
      </c>
      <c r="K21" s="38"/>
      <c r="L21" s="31"/>
      <c r="M21" s="32"/>
      <c r="N21" s="33"/>
    </row>
    <row r="22" spans="1:14" x14ac:dyDescent="0.25">
      <c r="A22">
        <v>130000</v>
      </c>
      <c r="B22" s="36">
        <f t="shared" si="3"/>
        <v>10905.160193193306</v>
      </c>
      <c r="C22" s="37">
        <f t="shared" si="0"/>
        <v>8.388584763994851E-2</v>
      </c>
      <c r="D22" s="38"/>
      <c r="E22" s="31"/>
      <c r="H22">
        <v>130000</v>
      </c>
      <c r="I22" s="36">
        <f t="shared" si="1"/>
        <v>4584.4215701336607</v>
      </c>
      <c r="J22" s="37">
        <f t="shared" si="2"/>
        <v>3.5264781308720468E-2</v>
      </c>
      <c r="K22" s="38"/>
      <c r="L22" s="31"/>
      <c r="M22" s="32"/>
      <c r="N22" s="33"/>
    </row>
    <row r="23" spans="1:14" x14ac:dyDescent="0.25">
      <c r="A23">
        <v>140000</v>
      </c>
      <c r="B23" s="36">
        <f t="shared" si="3"/>
        <v>10905.160193193306</v>
      </c>
      <c r="C23" s="37">
        <f t="shared" si="0"/>
        <v>7.7894001379952185E-2</v>
      </c>
      <c r="D23" s="38"/>
      <c r="E23" s="31"/>
      <c r="H23">
        <v>140000</v>
      </c>
      <c r="I23" s="36">
        <f t="shared" si="1"/>
        <v>4584.4215701336607</v>
      </c>
      <c r="J23" s="37">
        <f t="shared" si="2"/>
        <v>3.2745868358097577E-2</v>
      </c>
      <c r="K23" s="38"/>
      <c r="L23" s="31"/>
      <c r="M23" s="32"/>
      <c r="N23" s="33"/>
    </row>
    <row r="24" spans="1:14" x14ac:dyDescent="0.25">
      <c r="A24">
        <v>150000</v>
      </c>
      <c r="B24" s="36">
        <f t="shared" si="3"/>
        <v>10905.160193193306</v>
      </c>
      <c r="C24" s="37">
        <f t="shared" si="0"/>
        <v>7.2701067954622042E-2</v>
      </c>
      <c r="D24" s="38"/>
      <c r="E24" s="31"/>
      <c r="H24">
        <v>150000</v>
      </c>
      <c r="I24" s="36">
        <f t="shared" si="1"/>
        <v>4584.4215701336607</v>
      </c>
      <c r="J24" s="37">
        <f t="shared" si="2"/>
        <v>3.0562810467557738E-2</v>
      </c>
      <c r="K24" s="38"/>
      <c r="L24" s="31"/>
      <c r="M24" s="32"/>
      <c r="N24" s="33"/>
    </row>
    <row r="25" spans="1:14" x14ac:dyDescent="0.25">
      <c r="A25">
        <v>160000</v>
      </c>
      <c r="B25" s="36">
        <f t="shared" si="3"/>
        <v>10905.160193193306</v>
      </c>
      <c r="C25" s="37">
        <f t="shared" si="0"/>
        <v>6.8157251207458164E-2</v>
      </c>
      <c r="D25" s="38"/>
      <c r="E25" s="31"/>
      <c r="H25">
        <v>160000</v>
      </c>
      <c r="I25" s="36">
        <f t="shared" si="1"/>
        <v>4584.4215701336607</v>
      </c>
      <c r="J25" s="37">
        <f t="shared" si="2"/>
        <v>2.8652634813335378E-2</v>
      </c>
      <c r="K25" s="38"/>
      <c r="L25" s="31"/>
      <c r="M25" s="32"/>
      <c r="N25" s="33"/>
    </row>
    <row r="26" spans="1:14" x14ac:dyDescent="0.25">
      <c r="A26">
        <v>170000</v>
      </c>
      <c r="B26" s="36">
        <f t="shared" si="3"/>
        <v>10905.160193193306</v>
      </c>
      <c r="C26" s="37">
        <f t="shared" si="0"/>
        <v>6.414800113643121E-2</v>
      </c>
      <c r="D26" s="38"/>
      <c r="E26" s="31"/>
      <c r="H26">
        <v>170000</v>
      </c>
      <c r="I26" s="36">
        <f t="shared" si="1"/>
        <v>4584.4215701336607</v>
      </c>
      <c r="J26" s="37">
        <f t="shared" si="2"/>
        <v>2.6967185706668593E-2</v>
      </c>
      <c r="K26" s="38"/>
      <c r="L26" s="31"/>
      <c r="M26" s="32"/>
      <c r="N26" s="33"/>
    </row>
    <row r="27" spans="1:14" x14ac:dyDescent="0.25">
      <c r="A27">
        <v>180000</v>
      </c>
      <c r="B27" s="36">
        <f t="shared" si="3"/>
        <v>10905.160193193306</v>
      </c>
      <c r="C27" s="37">
        <f t="shared" si="0"/>
        <v>6.0584223295518366E-2</v>
      </c>
      <c r="D27" s="38"/>
      <c r="E27" s="31"/>
      <c r="H27">
        <v>180000</v>
      </c>
      <c r="I27" s="36">
        <f t="shared" si="1"/>
        <v>4584.4215701336607</v>
      </c>
      <c r="J27" s="37">
        <f t="shared" si="2"/>
        <v>2.5469008722964783E-2</v>
      </c>
      <c r="K27" s="38"/>
      <c r="L27" s="31"/>
      <c r="M27" s="32"/>
      <c r="N27" s="33"/>
    </row>
    <row r="28" spans="1:14" x14ac:dyDescent="0.25">
      <c r="A28">
        <v>190000</v>
      </c>
      <c r="B28" s="36">
        <f t="shared" si="3"/>
        <v>10905.160193193306</v>
      </c>
      <c r="C28" s="37">
        <f t="shared" si="0"/>
        <v>5.739557996417529E-2</v>
      </c>
      <c r="D28" s="38"/>
      <c r="E28" s="31"/>
      <c r="H28">
        <v>190000</v>
      </c>
      <c r="I28" s="36">
        <f t="shared" si="1"/>
        <v>4584.4215701336607</v>
      </c>
      <c r="J28" s="37">
        <f t="shared" si="2"/>
        <v>2.4128534579650845E-2</v>
      </c>
      <c r="K28" s="38"/>
      <c r="L28" s="31"/>
      <c r="M28" s="32"/>
      <c r="N28" s="33"/>
    </row>
    <row r="29" spans="1:14" x14ac:dyDescent="0.25">
      <c r="A29">
        <v>200000</v>
      </c>
      <c r="B29" s="36">
        <f t="shared" si="3"/>
        <v>10905.160193193306</v>
      </c>
      <c r="C29" s="37">
        <f t="shared" si="0"/>
        <v>5.4525800965966528E-2</v>
      </c>
      <c r="D29" s="38"/>
      <c r="E29" s="31"/>
      <c r="H29">
        <v>200000</v>
      </c>
      <c r="I29" s="36">
        <f t="shared" si="1"/>
        <v>4584.4215701336607</v>
      </c>
      <c r="J29" s="37">
        <f t="shared" si="2"/>
        <v>2.2922107850668304E-2</v>
      </c>
      <c r="K29" s="38"/>
      <c r="L29" s="31"/>
      <c r="M29" s="32"/>
      <c r="N29" s="33"/>
    </row>
    <row r="30" spans="1:14" x14ac:dyDescent="0.25">
      <c r="A30">
        <v>225000</v>
      </c>
      <c r="B30" s="36">
        <f t="shared" si="3"/>
        <v>10905.160193193306</v>
      </c>
      <c r="C30" s="37">
        <f t="shared" ref="C30:C41" si="4">B30/A30</f>
        <v>4.846737863641469E-2</v>
      </c>
      <c r="D30" s="38"/>
      <c r="E30" s="31"/>
      <c r="H30">
        <v>225000</v>
      </c>
      <c r="I30" s="36">
        <f t="shared" si="1"/>
        <v>4584.4215701336607</v>
      </c>
      <c r="J30" s="37">
        <f t="shared" si="2"/>
        <v>2.0375206978371824E-2</v>
      </c>
      <c r="K30" s="38"/>
      <c r="L30" s="31"/>
      <c r="M30" s="32"/>
      <c r="N30" s="33"/>
    </row>
    <row r="31" spans="1:14" x14ac:dyDescent="0.25">
      <c r="A31">
        <v>250000</v>
      </c>
      <c r="B31" s="36">
        <f t="shared" si="3"/>
        <v>10905.160193193306</v>
      </c>
      <c r="C31" s="37">
        <f t="shared" si="4"/>
        <v>4.3620640772773223E-2</v>
      </c>
      <c r="D31" s="38"/>
      <c r="E31" s="31"/>
      <c r="H31">
        <v>250000</v>
      </c>
      <c r="I31" s="36">
        <f t="shared" si="1"/>
        <v>4584.4215701336607</v>
      </c>
      <c r="J31" s="37">
        <f t="shared" si="2"/>
        <v>1.8337686280534643E-2</v>
      </c>
      <c r="K31" s="38"/>
      <c r="L31" s="31"/>
      <c r="M31" s="32"/>
      <c r="N31" s="33"/>
    </row>
    <row r="32" spans="1:14" x14ac:dyDescent="0.25">
      <c r="A32">
        <v>275000</v>
      </c>
      <c r="B32" s="36">
        <f t="shared" si="3"/>
        <v>10905.160193193306</v>
      </c>
      <c r="C32" s="37">
        <f t="shared" si="4"/>
        <v>3.965512797524838E-2</v>
      </c>
      <c r="D32" s="38"/>
      <c r="E32" s="31"/>
      <c r="H32">
        <v>275000</v>
      </c>
      <c r="I32" s="36">
        <f t="shared" si="1"/>
        <v>4584.4215701336607</v>
      </c>
      <c r="J32" s="37">
        <f t="shared" si="2"/>
        <v>1.667062389139513E-2</v>
      </c>
      <c r="K32" s="38"/>
      <c r="L32" s="31"/>
      <c r="M32" s="32"/>
      <c r="N32" s="33"/>
    </row>
    <row r="33" spans="1:14" x14ac:dyDescent="0.25">
      <c r="A33">
        <v>300000</v>
      </c>
      <c r="B33" s="36">
        <f t="shared" si="3"/>
        <v>10905.160193193306</v>
      </c>
      <c r="C33" s="37">
        <f t="shared" si="4"/>
        <v>3.6350533977311021E-2</v>
      </c>
      <c r="D33" s="38"/>
      <c r="E33" s="31"/>
      <c r="H33">
        <v>300000</v>
      </c>
      <c r="I33" s="36">
        <f t="shared" si="1"/>
        <v>4584.4215701336607</v>
      </c>
      <c r="J33" s="37">
        <f t="shared" si="2"/>
        <v>1.5281405233778869E-2</v>
      </c>
      <c r="K33" s="38"/>
      <c r="L33" s="31"/>
      <c r="M33" s="32"/>
      <c r="N33" s="33"/>
    </row>
    <row r="34" spans="1:14" x14ac:dyDescent="0.25">
      <c r="A34">
        <v>325000</v>
      </c>
      <c r="B34" s="36">
        <f t="shared" si="3"/>
        <v>10905.160193193306</v>
      </c>
      <c r="C34" s="37">
        <f t="shared" si="4"/>
        <v>3.3554339055979404E-2</v>
      </c>
      <c r="D34" s="38"/>
      <c r="E34" s="31"/>
      <c r="H34">
        <v>325000</v>
      </c>
      <c r="I34" s="36">
        <f t="shared" si="1"/>
        <v>4584.4215701336607</v>
      </c>
      <c r="J34" s="37">
        <f t="shared" si="2"/>
        <v>1.4105912523488187E-2</v>
      </c>
      <c r="K34" s="38"/>
      <c r="L34" s="31"/>
      <c r="M34" s="32"/>
      <c r="N34" s="33"/>
    </row>
    <row r="35" spans="1:14" x14ac:dyDescent="0.25">
      <c r="A35">
        <v>350000</v>
      </c>
      <c r="B35" s="36">
        <f t="shared" si="3"/>
        <v>10905.160193193306</v>
      </c>
      <c r="C35" s="37">
        <f t="shared" si="4"/>
        <v>3.1157600551980871E-2</v>
      </c>
      <c r="D35" s="38"/>
      <c r="E35" s="31"/>
      <c r="H35">
        <v>350000</v>
      </c>
      <c r="I35" s="36">
        <f t="shared" si="1"/>
        <v>4584.4215701336607</v>
      </c>
      <c r="J35" s="37">
        <f t="shared" si="2"/>
        <v>1.3098347343239031E-2</v>
      </c>
      <c r="K35" s="38"/>
      <c r="L35" s="31"/>
      <c r="M35" s="32"/>
      <c r="N35" s="33"/>
    </row>
    <row r="36" spans="1:14" x14ac:dyDescent="0.25">
      <c r="A36">
        <v>375000</v>
      </c>
      <c r="B36" s="36">
        <f t="shared" si="3"/>
        <v>10905.160193193306</v>
      </c>
      <c r="C36" s="37">
        <f t="shared" si="4"/>
        <v>2.9080427181848816E-2</v>
      </c>
      <c r="D36" s="38"/>
      <c r="E36" s="31"/>
      <c r="H36">
        <v>375000</v>
      </c>
      <c r="I36" s="36">
        <f t="shared" si="1"/>
        <v>4584.4215701336607</v>
      </c>
      <c r="J36" s="37">
        <f t="shared" si="2"/>
        <v>1.2225124187023095E-2</v>
      </c>
      <c r="K36" s="38"/>
      <c r="L36" s="31"/>
      <c r="M36" s="32"/>
      <c r="N36" s="33"/>
    </row>
    <row r="37" spans="1:14" x14ac:dyDescent="0.25">
      <c r="A37">
        <v>400000</v>
      </c>
      <c r="B37" s="36">
        <f t="shared" si="3"/>
        <v>10905.160193193306</v>
      </c>
      <c r="C37" s="37">
        <f t="shared" si="4"/>
        <v>2.7262900482983264E-2</v>
      </c>
      <c r="D37" s="38"/>
      <c r="E37" s="31"/>
      <c r="H37">
        <v>400000</v>
      </c>
      <c r="I37" s="36">
        <f t="shared" si="1"/>
        <v>4584.4215701336607</v>
      </c>
      <c r="J37" s="37">
        <f t="shared" si="2"/>
        <v>1.1461053925334152E-2</v>
      </c>
      <c r="K37" s="38"/>
      <c r="L37" s="31"/>
      <c r="M37" s="32"/>
      <c r="N37" s="33"/>
    </row>
    <row r="38" spans="1:14" x14ac:dyDescent="0.25">
      <c r="A38">
        <v>425000</v>
      </c>
      <c r="B38" s="36">
        <f t="shared" si="3"/>
        <v>10905.160193193306</v>
      </c>
      <c r="C38" s="37">
        <f t="shared" si="4"/>
        <v>2.5659200454572484E-2</v>
      </c>
      <c r="D38" s="38"/>
      <c r="E38" s="31"/>
      <c r="H38">
        <v>425000</v>
      </c>
      <c r="I38" s="36">
        <f t="shared" si="1"/>
        <v>4584.4215701336607</v>
      </c>
      <c r="J38" s="37">
        <f t="shared" si="2"/>
        <v>1.0786874282667436E-2</v>
      </c>
      <c r="K38" s="38"/>
      <c r="L38" s="31"/>
      <c r="M38" s="32"/>
      <c r="N38" s="33"/>
    </row>
    <row r="39" spans="1:14" x14ac:dyDescent="0.25">
      <c r="A39">
        <v>450000</v>
      </c>
      <c r="B39" s="36">
        <f t="shared" si="3"/>
        <v>10905.160193193306</v>
      </c>
      <c r="C39" s="37">
        <f t="shared" si="4"/>
        <v>2.4233689318207345E-2</v>
      </c>
      <c r="D39" s="38"/>
      <c r="E39" s="31"/>
      <c r="H39">
        <v>450000</v>
      </c>
      <c r="I39" s="36">
        <f t="shared" si="1"/>
        <v>4584.4215701336607</v>
      </c>
      <c r="J39" s="37">
        <f t="shared" si="2"/>
        <v>1.0187603489185912E-2</v>
      </c>
      <c r="K39" s="38"/>
      <c r="L39" s="31"/>
      <c r="M39" s="32"/>
      <c r="N39" s="33"/>
    </row>
    <row r="40" spans="1:14" x14ac:dyDescent="0.25">
      <c r="A40">
        <v>475000</v>
      </c>
      <c r="B40" s="36">
        <f t="shared" si="3"/>
        <v>10905.160193193306</v>
      </c>
      <c r="C40" s="37">
        <f t="shared" si="4"/>
        <v>2.2958231985670118E-2</v>
      </c>
      <c r="D40" s="38"/>
      <c r="E40" s="31"/>
      <c r="H40">
        <v>475000</v>
      </c>
      <c r="I40" s="36">
        <f t="shared" si="1"/>
        <v>4584.4215701336607</v>
      </c>
      <c r="J40" s="37">
        <f t="shared" si="2"/>
        <v>9.6514138318603386E-3</v>
      </c>
      <c r="K40" s="38"/>
      <c r="L40" s="31"/>
      <c r="M40" s="32"/>
      <c r="N40" s="33"/>
    </row>
    <row r="41" spans="1:14" x14ac:dyDescent="0.25">
      <c r="A41">
        <v>500000</v>
      </c>
      <c r="B41" s="36">
        <f t="shared" si="3"/>
        <v>10905.160193193306</v>
      </c>
      <c r="C41" s="37">
        <f t="shared" si="4"/>
        <v>2.1810320386386611E-2</v>
      </c>
      <c r="D41" s="38"/>
      <c r="E41" s="31"/>
      <c r="H41">
        <v>500000</v>
      </c>
      <c r="I41" s="36">
        <f t="shared" si="1"/>
        <v>4584.4215701336607</v>
      </c>
      <c r="J41" s="37">
        <f t="shared" si="2"/>
        <v>9.1688431402673215E-3</v>
      </c>
      <c r="K41" s="38"/>
      <c r="L41" s="31"/>
      <c r="M41" s="32"/>
      <c r="N41" s="33"/>
    </row>
    <row r="42" spans="1:14" x14ac:dyDescent="0.25">
      <c r="B42" s="36"/>
      <c r="C42" s="37"/>
      <c r="D42" s="38"/>
      <c r="E42" s="31"/>
      <c r="I42" s="36"/>
      <c r="J42" s="37"/>
      <c r="K42" s="38"/>
      <c r="L42" s="31"/>
      <c r="M42" s="32"/>
      <c r="N42" s="33"/>
    </row>
    <row r="43" spans="1:14" x14ac:dyDescent="0.25">
      <c r="B43" s="36"/>
      <c r="C43" s="37"/>
      <c r="D43" s="38"/>
      <c r="E43" s="31"/>
      <c r="I43" s="36"/>
      <c r="J43" s="37"/>
      <c r="K43" s="38"/>
      <c r="L43" s="31"/>
      <c r="M43" s="32"/>
      <c r="N43" s="33"/>
    </row>
    <row r="44" spans="1:14" x14ac:dyDescent="0.25">
      <c r="B44" s="36"/>
      <c r="C44" s="37"/>
      <c r="D44" s="38"/>
      <c r="E44" s="31"/>
      <c r="I44" s="36"/>
      <c r="J44" s="37"/>
      <c r="K44" s="38"/>
      <c r="L44" s="31"/>
      <c r="M44" s="32"/>
      <c r="N44" s="33"/>
    </row>
    <row r="45" spans="1:14" x14ac:dyDescent="0.25">
      <c r="B45" s="36"/>
      <c r="C45" s="37"/>
      <c r="D45" s="38"/>
      <c r="E45" s="31"/>
      <c r="I45" s="36"/>
      <c r="J45" s="37"/>
      <c r="K45" s="38"/>
      <c r="L45" s="31"/>
      <c r="M45" s="32"/>
      <c r="N45" s="33"/>
    </row>
    <row r="46" spans="1:14" x14ac:dyDescent="0.25">
      <c r="B46" s="36"/>
    </row>
    <row r="47" spans="1:14" x14ac:dyDescent="0.25">
      <c r="B47" s="36"/>
    </row>
    <row r="48" spans="1:14" ht="13" x14ac:dyDescent="0.3">
      <c r="A48" s="30" t="s">
        <v>17</v>
      </c>
      <c r="B48" s="39"/>
      <c r="E48" s="45"/>
      <c r="F48" s="97"/>
      <c r="G48" s="98"/>
      <c r="H48" s="45"/>
    </row>
    <row r="49" spans="1:11" x14ac:dyDescent="0.25">
      <c r="B49" s="36"/>
      <c r="E49" s="45"/>
      <c r="F49" s="97"/>
      <c r="G49" s="98"/>
      <c r="H49" s="45"/>
    </row>
    <row r="50" spans="1:11" x14ac:dyDescent="0.25">
      <c r="A50" t="s">
        <v>53</v>
      </c>
      <c r="B50" s="36"/>
      <c r="E50" s="45"/>
      <c r="F50" s="97"/>
      <c r="G50" s="98"/>
      <c r="H50" s="72"/>
      <c r="J50" s="45"/>
      <c r="K50" s="84"/>
    </row>
    <row r="51" spans="1:11" x14ac:dyDescent="0.25">
      <c r="A51">
        <f>2.43</f>
        <v>2.4300000000000002</v>
      </c>
      <c r="B51" s="120" t="s">
        <v>105</v>
      </c>
      <c r="C51" s="58">
        <f>A51*12</f>
        <v>29.160000000000004</v>
      </c>
      <c r="E51" s="45"/>
      <c r="F51" s="97"/>
      <c r="G51" s="98"/>
      <c r="H51" s="73"/>
      <c r="J51" s="45"/>
      <c r="K51" s="84"/>
    </row>
    <row r="52" spans="1:11" x14ac:dyDescent="0.25">
      <c r="B52" s="36"/>
      <c r="C52" s="36">
        <f>A52*6</f>
        <v>0</v>
      </c>
      <c r="D52" s="56" t="s">
        <v>10</v>
      </c>
      <c r="E52" s="45"/>
      <c r="F52" s="97"/>
      <c r="G52" s="98"/>
      <c r="H52" s="72"/>
      <c r="J52" s="45"/>
      <c r="K52" s="85"/>
    </row>
    <row r="53" spans="1:11" x14ac:dyDescent="0.25">
      <c r="A53" t="s">
        <v>18</v>
      </c>
      <c r="C53" s="36">
        <f>SUM(C51:C52)</f>
        <v>29.160000000000004</v>
      </c>
      <c r="E53" s="45"/>
      <c r="F53" s="97"/>
      <c r="G53" s="98"/>
      <c r="H53" s="72"/>
      <c r="J53" s="45"/>
      <c r="K53" s="84"/>
    </row>
    <row r="54" spans="1:11" x14ac:dyDescent="0.25">
      <c r="B54" s="36"/>
      <c r="D54" s="43"/>
      <c r="E54" s="45"/>
      <c r="F54" s="97"/>
      <c r="G54" s="98"/>
      <c r="H54" s="45"/>
      <c r="J54" s="45"/>
      <c r="K54" s="84"/>
    </row>
    <row r="55" spans="1:11" x14ac:dyDescent="0.25">
      <c r="B55" s="36" t="s">
        <v>19</v>
      </c>
      <c r="D55" s="43"/>
      <c r="E55" s="45"/>
      <c r="F55" s="97"/>
      <c r="G55" s="98"/>
      <c r="H55" s="45"/>
      <c r="J55" s="45"/>
      <c r="K55" s="45"/>
    </row>
    <row r="56" spans="1:11" x14ac:dyDescent="0.25">
      <c r="A56">
        <v>10000</v>
      </c>
      <c r="B56" s="36">
        <f>$C$53</f>
        <v>29.160000000000004</v>
      </c>
      <c r="C56" s="37">
        <f t="shared" ref="C56:C75" si="5">B56/A56</f>
        <v>2.9160000000000002E-3</v>
      </c>
      <c r="D56" s="31"/>
      <c r="E56" s="99"/>
      <c r="F56" s="45"/>
      <c r="G56" s="98"/>
      <c r="H56" s="45"/>
    </row>
    <row r="57" spans="1:11" x14ac:dyDescent="0.25">
      <c r="A57">
        <v>20000</v>
      </c>
      <c r="B57" s="36">
        <f t="shared" ref="B57:B87" si="6">$C$53</f>
        <v>29.160000000000004</v>
      </c>
      <c r="C57" s="37">
        <f t="shared" si="5"/>
        <v>1.4580000000000001E-3</v>
      </c>
      <c r="D57" s="31"/>
      <c r="E57" s="99"/>
      <c r="F57" s="45"/>
      <c r="G57" s="98"/>
      <c r="H57" s="45"/>
    </row>
    <row r="58" spans="1:11" x14ac:dyDescent="0.25">
      <c r="A58">
        <v>30000</v>
      </c>
      <c r="B58" s="36">
        <f t="shared" si="6"/>
        <v>29.160000000000004</v>
      </c>
      <c r="C58" s="37">
        <f t="shared" si="5"/>
        <v>9.720000000000001E-4</v>
      </c>
      <c r="D58" s="31"/>
      <c r="E58" s="99"/>
      <c r="F58" s="45"/>
      <c r="G58" s="98"/>
      <c r="H58" s="45"/>
    </row>
    <row r="59" spans="1:11" x14ac:dyDescent="0.25">
      <c r="A59">
        <v>40000</v>
      </c>
      <c r="B59" s="36">
        <f t="shared" si="6"/>
        <v>29.160000000000004</v>
      </c>
      <c r="C59" s="37">
        <f t="shared" si="5"/>
        <v>7.2900000000000005E-4</v>
      </c>
      <c r="D59" s="31"/>
      <c r="E59" s="99"/>
      <c r="F59" s="45"/>
      <c r="G59" s="98"/>
      <c r="H59" s="45"/>
    </row>
    <row r="60" spans="1:11" x14ac:dyDescent="0.25">
      <c r="A60">
        <v>50000</v>
      </c>
      <c r="B60" s="36">
        <f t="shared" si="6"/>
        <v>29.160000000000004</v>
      </c>
      <c r="C60" s="37">
        <f t="shared" si="5"/>
        <v>5.8320000000000008E-4</v>
      </c>
      <c r="D60" s="31"/>
      <c r="E60" s="99"/>
      <c r="F60" s="45"/>
      <c r="G60" s="98"/>
      <c r="H60" s="45"/>
    </row>
    <row r="61" spans="1:11" x14ac:dyDescent="0.25">
      <c r="A61">
        <v>60000</v>
      </c>
      <c r="B61" s="36">
        <f t="shared" si="6"/>
        <v>29.160000000000004</v>
      </c>
      <c r="C61" s="37">
        <f t="shared" si="5"/>
        <v>4.8600000000000005E-4</v>
      </c>
      <c r="D61" s="31"/>
      <c r="E61" s="99"/>
      <c r="F61" s="45"/>
      <c r="G61" s="98"/>
      <c r="H61" s="45"/>
    </row>
    <row r="62" spans="1:11" x14ac:dyDescent="0.25">
      <c r="A62">
        <v>70000</v>
      </c>
      <c r="B62" s="36">
        <f t="shared" si="6"/>
        <v>29.160000000000004</v>
      </c>
      <c r="C62" s="37">
        <f t="shared" si="5"/>
        <v>4.1657142857142864E-4</v>
      </c>
      <c r="D62" s="31"/>
      <c r="E62" s="99"/>
      <c r="F62" s="45"/>
      <c r="G62" s="98"/>
      <c r="H62" s="45"/>
    </row>
    <row r="63" spans="1:11" x14ac:dyDescent="0.25">
      <c r="A63">
        <v>80000</v>
      </c>
      <c r="B63" s="36">
        <f t="shared" si="6"/>
        <v>29.160000000000004</v>
      </c>
      <c r="C63" s="37">
        <f t="shared" si="5"/>
        <v>3.6450000000000002E-4</v>
      </c>
      <c r="D63" s="31"/>
      <c r="E63" s="99"/>
      <c r="F63" s="45"/>
      <c r="G63" s="98"/>
      <c r="H63" s="45"/>
    </row>
    <row r="64" spans="1:11" x14ac:dyDescent="0.25">
      <c r="A64">
        <v>90000</v>
      </c>
      <c r="B64" s="36">
        <f t="shared" si="6"/>
        <v>29.160000000000004</v>
      </c>
      <c r="C64" s="37">
        <f t="shared" si="5"/>
        <v>3.2400000000000001E-4</v>
      </c>
      <c r="D64" s="31"/>
      <c r="E64" s="99"/>
      <c r="F64" s="45"/>
      <c r="G64" s="98"/>
      <c r="H64" s="45"/>
    </row>
    <row r="65" spans="1:8" x14ac:dyDescent="0.25">
      <c r="A65">
        <v>100000</v>
      </c>
      <c r="B65" s="36">
        <f t="shared" si="6"/>
        <v>29.160000000000004</v>
      </c>
      <c r="C65" s="37">
        <f t="shared" si="5"/>
        <v>2.9160000000000004E-4</v>
      </c>
      <c r="D65" s="31"/>
      <c r="E65" s="99"/>
      <c r="F65" s="45"/>
      <c r="G65" s="98"/>
      <c r="H65" s="45"/>
    </row>
    <row r="66" spans="1:8" x14ac:dyDescent="0.25">
      <c r="A66">
        <v>110000</v>
      </c>
      <c r="B66" s="36">
        <f t="shared" si="6"/>
        <v>29.160000000000004</v>
      </c>
      <c r="C66" s="37">
        <f t="shared" si="5"/>
        <v>2.650909090909091E-4</v>
      </c>
      <c r="D66" s="31"/>
      <c r="E66" s="99"/>
      <c r="F66" s="45"/>
      <c r="G66" s="98"/>
      <c r="H66" s="45"/>
    </row>
    <row r="67" spans="1:8" x14ac:dyDescent="0.25">
      <c r="A67">
        <v>120000</v>
      </c>
      <c r="B67" s="36">
        <f t="shared" si="6"/>
        <v>29.160000000000004</v>
      </c>
      <c r="C67" s="37">
        <f t="shared" si="5"/>
        <v>2.4300000000000002E-4</v>
      </c>
      <c r="D67" s="31"/>
      <c r="E67" s="99"/>
      <c r="F67" s="45"/>
      <c r="G67" s="98"/>
      <c r="H67" s="45"/>
    </row>
    <row r="68" spans="1:8" x14ac:dyDescent="0.25">
      <c r="A68">
        <v>130000</v>
      </c>
      <c r="B68" s="36">
        <f t="shared" si="6"/>
        <v>29.160000000000004</v>
      </c>
      <c r="C68" s="37">
        <f t="shared" si="5"/>
        <v>2.2430769230769233E-4</v>
      </c>
      <c r="D68" s="31"/>
      <c r="E68" s="99"/>
      <c r="F68" s="45"/>
      <c r="G68" s="98"/>
      <c r="H68" s="45"/>
    </row>
    <row r="69" spans="1:8" x14ac:dyDescent="0.25">
      <c r="A69">
        <v>140000</v>
      </c>
      <c r="B69" s="36">
        <f t="shared" si="6"/>
        <v>29.160000000000004</v>
      </c>
      <c r="C69" s="37">
        <f t="shared" si="5"/>
        <v>2.0828571428571432E-4</v>
      </c>
      <c r="D69" s="31"/>
      <c r="E69" s="99"/>
      <c r="F69" s="45"/>
      <c r="G69" s="98"/>
      <c r="H69" s="45"/>
    </row>
    <row r="70" spans="1:8" x14ac:dyDescent="0.25">
      <c r="A70">
        <v>150000</v>
      </c>
      <c r="B70" s="36">
        <f t="shared" si="6"/>
        <v>29.160000000000004</v>
      </c>
      <c r="C70" s="37">
        <f t="shared" si="5"/>
        <v>1.9440000000000004E-4</v>
      </c>
      <c r="D70" s="31"/>
      <c r="E70" s="99"/>
      <c r="F70" s="45"/>
      <c r="G70" s="98"/>
      <c r="H70" s="45"/>
    </row>
    <row r="71" spans="1:8" x14ac:dyDescent="0.25">
      <c r="A71">
        <v>160000</v>
      </c>
      <c r="B71" s="36">
        <f t="shared" si="6"/>
        <v>29.160000000000004</v>
      </c>
      <c r="C71" s="37">
        <f t="shared" si="5"/>
        <v>1.8225000000000001E-4</v>
      </c>
      <c r="D71" s="31"/>
      <c r="E71" s="99"/>
      <c r="F71" s="45"/>
      <c r="G71" s="98"/>
      <c r="H71" s="45"/>
    </row>
    <row r="72" spans="1:8" x14ac:dyDescent="0.25">
      <c r="A72">
        <v>170000</v>
      </c>
      <c r="B72" s="36">
        <f t="shared" si="6"/>
        <v>29.160000000000004</v>
      </c>
      <c r="C72" s="37">
        <f t="shared" si="5"/>
        <v>1.715294117647059E-4</v>
      </c>
      <c r="D72" s="31"/>
      <c r="E72" s="99"/>
      <c r="F72" s="45"/>
      <c r="G72" s="98"/>
      <c r="H72" s="45"/>
    </row>
    <row r="73" spans="1:8" x14ac:dyDescent="0.25">
      <c r="A73">
        <v>180000</v>
      </c>
      <c r="B73" s="36">
        <f t="shared" si="6"/>
        <v>29.160000000000004</v>
      </c>
      <c r="C73" s="37">
        <f t="shared" si="5"/>
        <v>1.6200000000000001E-4</v>
      </c>
      <c r="D73" s="31"/>
      <c r="E73" s="99"/>
      <c r="F73" s="45"/>
      <c r="G73" s="98"/>
      <c r="H73" s="45"/>
    </row>
    <row r="74" spans="1:8" x14ac:dyDescent="0.25">
      <c r="A74">
        <v>190000</v>
      </c>
      <c r="B74" s="36">
        <f t="shared" si="6"/>
        <v>29.160000000000004</v>
      </c>
      <c r="C74" s="37">
        <f t="shared" si="5"/>
        <v>1.5347368421052634E-4</v>
      </c>
      <c r="D74" s="31"/>
      <c r="E74" s="99"/>
      <c r="F74" s="45"/>
      <c r="G74" s="98"/>
      <c r="H74" s="45"/>
    </row>
    <row r="75" spans="1:8" x14ac:dyDescent="0.25">
      <c r="A75">
        <v>200000</v>
      </c>
      <c r="B75" s="36">
        <f t="shared" si="6"/>
        <v>29.160000000000004</v>
      </c>
      <c r="C75" s="37">
        <f t="shared" si="5"/>
        <v>1.4580000000000002E-4</v>
      </c>
      <c r="D75" s="31"/>
      <c r="E75" s="99"/>
      <c r="F75" s="45"/>
      <c r="G75" s="98"/>
      <c r="H75" s="45"/>
    </row>
    <row r="76" spans="1:8" x14ac:dyDescent="0.25">
      <c r="A76">
        <v>225000</v>
      </c>
      <c r="B76" s="36">
        <f t="shared" si="6"/>
        <v>29.160000000000004</v>
      </c>
      <c r="C76" s="37">
        <f t="shared" ref="C76:C87" si="7">B76/A76</f>
        <v>1.2960000000000001E-4</v>
      </c>
      <c r="E76" s="99"/>
      <c r="F76" s="45"/>
      <c r="G76" s="98"/>
      <c r="H76" s="45"/>
    </row>
    <row r="77" spans="1:8" x14ac:dyDescent="0.25">
      <c r="A77">
        <v>250000</v>
      </c>
      <c r="B77" s="36">
        <f t="shared" si="6"/>
        <v>29.160000000000004</v>
      </c>
      <c r="C77" s="37">
        <f t="shared" si="7"/>
        <v>1.1664000000000001E-4</v>
      </c>
      <c r="E77" s="99"/>
      <c r="F77" s="45"/>
      <c r="G77" s="98"/>
      <c r="H77" s="45"/>
    </row>
    <row r="78" spans="1:8" x14ac:dyDescent="0.25">
      <c r="A78">
        <v>275000</v>
      </c>
      <c r="B78" s="36">
        <f t="shared" si="6"/>
        <v>29.160000000000004</v>
      </c>
      <c r="C78" s="37">
        <f t="shared" si="7"/>
        <v>1.0603636363636365E-4</v>
      </c>
      <c r="E78" s="99"/>
      <c r="F78" s="45"/>
      <c r="G78" s="98"/>
      <c r="H78" s="45"/>
    </row>
    <row r="79" spans="1:8" x14ac:dyDescent="0.25">
      <c r="A79">
        <v>300000</v>
      </c>
      <c r="B79" s="36">
        <f t="shared" si="6"/>
        <v>29.160000000000004</v>
      </c>
      <c r="C79" s="37">
        <f t="shared" si="7"/>
        <v>9.7200000000000018E-5</v>
      </c>
      <c r="E79" s="99"/>
      <c r="F79" s="45"/>
      <c r="G79" s="98"/>
      <c r="H79" s="45"/>
    </row>
    <row r="80" spans="1:8" x14ac:dyDescent="0.25">
      <c r="A80">
        <v>325000</v>
      </c>
      <c r="B80" s="36">
        <f t="shared" si="6"/>
        <v>29.160000000000004</v>
      </c>
      <c r="C80" s="37">
        <f t="shared" si="7"/>
        <v>8.9723076923076939E-5</v>
      </c>
      <c r="E80" s="99"/>
      <c r="F80" s="45"/>
      <c r="G80" s="98"/>
      <c r="H80" s="45"/>
    </row>
    <row r="81" spans="1:8" x14ac:dyDescent="0.25">
      <c r="A81">
        <v>350000</v>
      </c>
      <c r="B81" s="36">
        <f t="shared" si="6"/>
        <v>29.160000000000004</v>
      </c>
      <c r="C81" s="37">
        <f t="shared" si="7"/>
        <v>8.3314285714285722E-5</v>
      </c>
      <c r="E81" s="99"/>
      <c r="F81" s="45"/>
      <c r="G81" s="98"/>
      <c r="H81" s="45"/>
    </row>
    <row r="82" spans="1:8" x14ac:dyDescent="0.25">
      <c r="A82">
        <v>375000</v>
      </c>
      <c r="B82" s="36">
        <f t="shared" si="6"/>
        <v>29.160000000000004</v>
      </c>
      <c r="C82" s="37">
        <f t="shared" si="7"/>
        <v>7.7760000000000014E-5</v>
      </c>
      <c r="E82" s="99"/>
      <c r="F82" s="45"/>
      <c r="G82" s="98"/>
      <c r="H82" s="45"/>
    </row>
    <row r="83" spans="1:8" x14ac:dyDescent="0.25">
      <c r="A83">
        <v>400000</v>
      </c>
      <c r="B83" s="36">
        <f t="shared" si="6"/>
        <v>29.160000000000004</v>
      </c>
      <c r="C83" s="37">
        <f t="shared" si="7"/>
        <v>7.290000000000001E-5</v>
      </c>
      <c r="E83" s="99"/>
      <c r="F83" s="45"/>
      <c r="G83" s="98"/>
      <c r="H83" s="45"/>
    </row>
    <row r="84" spans="1:8" x14ac:dyDescent="0.25">
      <c r="A84">
        <v>425000</v>
      </c>
      <c r="B84" s="36">
        <f t="shared" si="6"/>
        <v>29.160000000000004</v>
      </c>
      <c r="C84" s="37">
        <f t="shared" si="7"/>
        <v>6.8611764705882368E-5</v>
      </c>
      <c r="E84" s="99"/>
      <c r="F84" s="45"/>
      <c r="G84" s="98"/>
      <c r="H84" s="45"/>
    </row>
    <row r="85" spans="1:8" x14ac:dyDescent="0.25">
      <c r="A85">
        <v>450000</v>
      </c>
      <c r="B85" s="36">
        <f t="shared" si="6"/>
        <v>29.160000000000004</v>
      </c>
      <c r="C85" s="37">
        <f t="shared" si="7"/>
        <v>6.4800000000000003E-5</v>
      </c>
      <c r="E85" s="99"/>
      <c r="F85" s="45"/>
      <c r="G85" s="98"/>
      <c r="H85" s="45"/>
    </row>
    <row r="86" spans="1:8" x14ac:dyDescent="0.25">
      <c r="A86">
        <v>475000</v>
      </c>
      <c r="B86" s="36">
        <f t="shared" si="6"/>
        <v>29.160000000000004</v>
      </c>
      <c r="C86" s="37">
        <f t="shared" si="7"/>
        <v>6.138947368421054E-5</v>
      </c>
      <c r="E86" s="99"/>
      <c r="F86" s="45"/>
      <c r="G86" s="98"/>
      <c r="H86" s="45"/>
    </row>
    <row r="87" spans="1:8" x14ac:dyDescent="0.25">
      <c r="A87">
        <v>500000</v>
      </c>
      <c r="B87" s="36">
        <f t="shared" si="6"/>
        <v>29.160000000000004</v>
      </c>
      <c r="C87" s="37">
        <f t="shared" si="7"/>
        <v>5.8320000000000004E-5</v>
      </c>
      <c r="E87" s="99"/>
      <c r="F87" s="45"/>
      <c r="G87" s="98"/>
      <c r="H87" s="45"/>
    </row>
    <row r="88" spans="1:8" x14ac:dyDescent="0.25">
      <c r="E88" s="45"/>
      <c r="F88" s="97"/>
      <c r="G88" s="98"/>
      <c r="H88" s="45"/>
    </row>
    <row r="92" spans="1:8" x14ac:dyDescent="0.25">
      <c r="A92" s="40" t="s">
        <v>20</v>
      </c>
      <c r="B92" s="45"/>
    </row>
    <row r="93" spans="1:8" x14ac:dyDescent="0.25">
      <c r="F93" s="119" t="s">
        <v>93</v>
      </c>
    </row>
    <row r="94" spans="1:8" x14ac:dyDescent="0.25">
      <c r="A94" s="100" t="s">
        <v>106</v>
      </c>
      <c r="D94">
        <f>F94*0.0765</f>
        <v>11245.5</v>
      </c>
      <c r="F94" s="32">
        <v>147000</v>
      </c>
    </row>
    <row r="98" spans="1:6" x14ac:dyDescent="0.25">
      <c r="A98">
        <v>90000</v>
      </c>
      <c r="C98" s="42"/>
      <c r="F98" s="44">
        <v>7.6499999999999999E-2</v>
      </c>
    </row>
    <row r="99" spans="1:6" x14ac:dyDescent="0.25">
      <c r="A99">
        <v>100000</v>
      </c>
      <c r="B99" t="s">
        <v>29</v>
      </c>
      <c r="F99" s="44">
        <v>7.6499999999999999E-2</v>
      </c>
    </row>
    <row r="100" spans="1:6" x14ac:dyDescent="0.25">
      <c r="A100">
        <v>110000</v>
      </c>
      <c r="B100" t="s">
        <v>29</v>
      </c>
      <c r="F100" s="44">
        <v>7.6499999999999999E-2</v>
      </c>
    </row>
    <row r="101" spans="1:6" x14ac:dyDescent="0.25">
      <c r="A101">
        <v>120000</v>
      </c>
      <c r="B101" t="s">
        <v>29</v>
      </c>
      <c r="F101" s="44">
        <v>7.6499999999999999E-2</v>
      </c>
    </row>
    <row r="102" spans="1:6" x14ac:dyDescent="0.25">
      <c r="A102">
        <v>130000</v>
      </c>
      <c r="B102" t="s">
        <v>29</v>
      </c>
      <c r="F102" s="44">
        <v>7.6499999999999999E-2</v>
      </c>
    </row>
    <row r="103" spans="1:6" x14ac:dyDescent="0.25">
      <c r="A103">
        <v>140000</v>
      </c>
      <c r="B103" t="s">
        <v>29</v>
      </c>
      <c r="F103" s="44">
        <v>7.6499999999999999E-2</v>
      </c>
    </row>
    <row r="104" spans="1:6" x14ac:dyDescent="0.25">
      <c r="A104">
        <v>150000</v>
      </c>
      <c r="B104" t="s">
        <v>29</v>
      </c>
      <c r="F104" s="44">
        <f>((A104-$F$94)*0.0145+$D$94)/A104</f>
        <v>7.5259999999999994E-2</v>
      </c>
    </row>
    <row r="105" spans="1:6" x14ac:dyDescent="0.25">
      <c r="A105">
        <v>160000</v>
      </c>
      <c r="B105" t="s">
        <v>29</v>
      </c>
      <c r="F105" s="44">
        <f t="shared" ref="F105:F121" si="8">((A105-$F$94)*0.0145+$D$94)/A105</f>
        <v>7.1462499999999998E-2</v>
      </c>
    </row>
    <row r="106" spans="1:6" x14ac:dyDescent="0.25">
      <c r="A106">
        <v>170000</v>
      </c>
      <c r="B106" t="s">
        <v>29</v>
      </c>
      <c r="F106" s="44">
        <f>((A106-$F$94)*0.0145+$D$94)/A106</f>
        <v>6.8111764705882358E-2</v>
      </c>
    </row>
    <row r="107" spans="1:6" x14ac:dyDescent="0.25">
      <c r="A107">
        <v>180000</v>
      </c>
      <c r="B107" t="s">
        <v>29</v>
      </c>
      <c r="F107" s="44">
        <f t="shared" si="8"/>
        <v>6.5133333333333335E-2</v>
      </c>
    </row>
    <row r="108" spans="1:6" x14ac:dyDescent="0.25">
      <c r="A108">
        <v>190000</v>
      </c>
      <c r="B108" t="s">
        <v>29</v>
      </c>
      <c r="F108" s="44">
        <f t="shared" si="8"/>
        <v>6.2468421052631576E-2</v>
      </c>
    </row>
    <row r="109" spans="1:6" x14ac:dyDescent="0.25">
      <c r="A109">
        <v>200000</v>
      </c>
      <c r="B109" t="s">
        <v>29</v>
      </c>
      <c r="F109" s="44">
        <f t="shared" si="8"/>
        <v>6.0069999999999998E-2</v>
      </c>
    </row>
    <row r="110" spans="1:6" x14ac:dyDescent="0.25">
      <c r="A110">
        <v>225000</v>
      </c>
      <c r="F110" s="44">
        <f t="shared" si="8"/>
        <v>5.5006666666666669E-2</v>
      </c>
    </row>
    <row r="111" spans="1:6" x14ac:dyDescent="0.25">
      <c r="A111">
        <v>250000</v>
      </c>
      <c r="F111" s="44">
        <f t="shared" si="8"/>
        <v>5.0956000000000001E-2</v>
      </c>
    </row>
    <row r="112" spans="1:6" x14ac:dyDescent="0.25">
      <c r="A112">
        <v>275000</v>
      </c>
      <c r="F112" s="44">
        <f t="shared" si="8"/>
        <v>4.7641818181818181E-2</v>
      </c>
    </row>
    <row r="113" spans="1:6" x14ac:dyDescent="0.25">
      <c r="A113">
        <v>300000</v>
      </c>
      <c r="F113" s="44">
        <f t="shared" si="8"/>
        <v>4.4880000000000003E-2</v>
      </c>
    </row>
    <row r="114" spans="1:6" x14ac:dyDescent="0.25">
      <c r="A114">
        <v>325000</v>
      </c>
      <c r="F114" s="44">
        <f t="shared" si="8"/>
        <v>4.2543076923076927E-2</v>
      </c>
    </row>
    <row r="115" spans="1:6" x14ac:dyDescent="0.25">
      <c r="A115">
        <v>350000</v>
      </c>
      <c r="F115" s="44">
        <f t="shared" si="8"/>
        <v>4.054E-2</v>
      </c>
    </row>
    <row r="116" spans="1:6" x14ac:dyDescent="0.25">
      <c r="A116">
        <v>375000</v>
      </c>
      <c r="F116" s="44">
        <f t="shared" si="8"/>
        <v>3.8803999999999998E-2</v>
      </c>
    </row>
    <row r="117" spans="1:6" x14ac:dyDescent="0.25">
      <c r="A117">
        <v>400000</v>
      </c>
      <c r="F117" s="44">
        <f t="shared" si="8"/>
        <v>3.7284999999999999E-2</v>
      </c>
    </row>
    <row r="118" spans="1:6" x14ac:dyDescent="0.25">
      <c r="A118">
        <v>425000</v>
      </c>
      <c r="F118" s="44">
        <f t="shared" si="8"/>
        <v>3.5944705882352941E-2</v>
      </c>
    </row>
    <row r="119" spans="1:6" x14ac:dyDescent="0.25">
      <c r="A119">
        <v>450000</v>
      </c>
      <c r="F119" s="44">
        <f t="shared" si="8"/>
        <v>3.4753333333333331E-2</v>
      </c>
    </row>
    <row r="120" spans="1:6" x14ac:dyDescent="0.25">
      <c r="A120">
        <v>475000</v>
      </c>
      <c r="F120" s="44">
        <f t="shared" si="8"/>
        <v>3.3687368421052633E-2</v>
      </c>
    </row>
    <row r="121" spans="1:6" x14ac:dyDescent="0.25">
      <c r="A121">
        <v>500000</v>
      </c>
      <c r="F121" s="44">
        <f t="shared" si="8"/>
        <v>3.2728E-2</v>
      </c>
    </row>
    <row r="126" spans="1:6" x14ac:dyDescent="0.25">
      <c r="A126" s="40" t="s">
        <v>36</v>
      </c>
    </row>
    <row r="127" spans="1:6" x14ac:dyDescent="0.25">
      <c r="A127" s="60" t="s">
        <v>108</v>
      </c>
    </row>
    <row r="128" spans="1:6" x14ac:dyDescent="0.25">
      <c r="A128">
        <v>225000</v>
      </c>
      <c r="B128">
        <f>225000*0.1</f>
        <v>22500</v>
      </c>
      <c r="C128" s="31">
        <f>B128/A128</f>
        <v>0.1</v>
      </c>
      <c r="E128" s="31"/>
    </row>
    <row r="129" spans="1:10" x14ac:dyDescent="0.25">
      <c r="A129">
        <v>250000</v>
      </c>
      <c r="B129">
        <f>250000*0.1</f>
        <v>25000</v>
      </c>
      <c r="C129" s="31">
        <f t="shared" ref="C129:C139" si="9">B129/A129</f>
        <v>0.1</v>
      </c>
      <c r="E129" s="31"/>
    </row>
    <row r="130" spans="1:10" x14ac:dyDescent="0.25">
      <c r="A130">
        <v>275000</v>
      </c>
      <c r="B130">
        <v>27500</v>
      </c>
      <c r="C130" s="31">
        <f t="shared" si="9"/>
        <v>0.1</v>
      </c>
      <c r="E130" s="31"/>
    </row>
    <row r="131" spans="1:10" x14ac:dyDescent="0.25">
      <c r="A131">
        <v>300000</v>
      </c>
      <c r="B131">
        <v>30000</v>
      </c>
      <c r="C131" s="31">
        <f t="shared" si="9"/>
        <v>0.1</v>
      </c>
      <c r="E131" s="31"/>
    </row>
    <row r="132" spans="1:10" x14ac:dyDescent="0.25">
      <c r="A132">
        <v>325000</v>
      </c>
      <c r="B132">
        <v>30500</v>
      </c>
      <c r="C132" s="31">
        <f t="shared" si="9"/>
        <v>9.3846153846153843E-2</v>
      </c>
      <c r="E132" s="31"/>
    </row>
    <row r="133" spans="1:10" x14ac:dyDescent="0.25">
      <c r="A133">
        <v>350000</v>
      </c>
      <c r="B133">
        <v>30500</v>
      </c>
      <c r="C133" s="31">
        <f t="shared" si="9"/>
        <v>8.7142857142857147E-2</v>
      </c>
      <c r="E133" s="31"/>
    </row>
    <row r="134" spans="1:10" x14ac:dyDescent="0.25">
      <c r="A134">
        <v>375000</v>
      </c>
      <c r="B134">
        <v>30500</v>
      </c>
      <c r="C134" s="31">
        <f t="shared" si="9"/>
        <v>8.1333333333333327E-2</v>
      </c>
      <c r="E134" s="31"/>
    </row>
    <row r="135" spans="1:10" x14ac:dyDescent="0.25">
      <c r="A135">
        <v>400000</v>
      </c>
      <c r="B135">
        <v>30500</v>
      </c>
      <c r="C135" s="31">
        <f t="shared" si="9"/>
        <v>7.6249999999999998E-2</v>
      </c>
      <c r="E135" s="31"/>
    </row>
    <row r="136" spans="1:10" x14ac:dyDescent="0.25">
      <c r="A136">
        <v>425000</v>
      </c>
      <c r="B136">
        <v>30500</v>
      </c>
      <c r="C136" s="31">
        <f t="shared" si="9"/>
        <v>7.1764705882352939E-2</v>
      </c>
      <c r="E136" s="31"/>
    </row>
    <row r="137" spans="1:10" x14ac:dyDescent="0.25">
      <c r="A137">
        <v>450000</v>
      </c>
      <c r="B137">
        <v>30500</v>
      </c>
      <c r="C137" s="31">
        <f t="shared" si="9"/>
        <v>6.7777777777777784E-2</v>
      </c>
      <c r="E137" s="31"/>
    </row>
    <row r="138" spans="1:10" x14ac:dyDescent="0.25">
      <c r="A138">
        <v>475000</v>
      </c>
      <c r="B138">
        <v>30500</v>
      </c>
      <c r="C138" s="31">
        <f t="shared" si="9"/>
        <v>6.4210526315789468E-2</v>
      </c>
      <c r="E138" s="31"/>
    </row>
    <row r="139" spans="1:10" x14ac:dyDescent="0.25">
      <c r="A139">
        <v>500000</v>
      </c>
      <c r="B139">
        <v>30500</v>
      </c>
      <c r="C139" s="31">
        <f t="shared" si="9"/>
        <v>6.0999999999999999E-2</v>
      </c>
      <c r="E139" s="31"/>
    </row>
    <row r="141" spans="1:10" x14ac:dyDescent="0.25">
      <c r="A141" s="40" t="s">
        <v>21</v>
      </c>
    </row>
    <row r="143" spans="1:10" x14ac:dyDescent="0.25">
      <c r="A143" s="100" t="s">
        <v>112</v>
      </c>
      <c r="D143" s="52">
        <f>'Medical &amp; Dental'!F55</f>
        <v>29382477.240000002</v>
      </c>
      <c r="E143" s="53" t="s">
        <v>10</v>
      </c>
      <c r="J143" s="34"/>
    </row>
    <row r="144" spans="1:10" x14ac:dyDescent="0.25">
      <c r="J144" s="47"/>
    </row>
    <row r="145" spans="1:29" x14ac:dyDescent="0.25">
      <c r="A145" s="100" t="s">
        <v>111</v>
      </c>
      <c r="D145" s="54">
        <f>'Medical &amp; Dental'!D50</f>
        <v>63606</v>
      </c>
      <c r="J145" s="41"/>
    </row>
    <row r="147" spans="1:29" x14ac:dyDescent="0.25">
      <c r="C147" s="84"/>
      <c r="F147" s="74"/>
    </row>
    <row r="148" spans="1:29" x14ac:dyDescent="0.25">
      <c r="C148" s="59">
        <f>D143/D145</f>
        <v>461.94505612678051</v>
      </c>
      <c r="F148" s="74"/>
    </row>
    <row r="149" spans="1:29" x14ac:dyDescent="0.25">
      <c r="B149" t="s">
        <v>16</v>
      </c>
      <c r="F149" s="74"/>
    </row>
    <row r="150" spans="1:29" x14ac:dyDescent="0.25">
      <c r="A150">
        <v>10000</v>
      </c>
      <c r="B150" s="93">
        <f>$C$148</f>
        <v>461.94505612678051</v>
      </c>
      <c r="C150" s="37">
        <f>B150/A150</f>
        <v>4.6194505612678051E-2</v>
      </c>
      <c r="F150" s="74"/>
    </row>
    <row r="151" spans="1:29" x14ac:dyDescent="0.25">
      <c r="A151">
        <v>20000</v>
      </c>
      <c r="B151" s="93">
        <f t="shared" ref="B151:B181" si="10">$C$148</f>
        <v>461.94505612678051</v>
      </c>
      <c r="C151" s="37">
        <f t="shared" ref="C151:C169" si="11">B151/A151</f>
        <v>2.3097252806339025E-2</v>
      </c>
      <c r="F151" s="74"/>
    </row>
    <row r="152" spans="1:29" x14ac:dyDescent="0.25">
      <c r="A152">
        <v>30000</v>
      </c>
      <c r="B152" s="93">
        <f t="shared" si="10"/>
        <v>461.94505612678051</v>
      </c>
      <c r="C152" s="37">
        <f t="shared" si="11"/>
        <v>1.539816853755935E-2</v>
      </c>
    </row>
    <row r="153" spans="1:29" x14ac:dyDescent="0.25">
      <c r="A153">
        <v>40000</v>
      </c>
      <c r="B153" s="93">
        <f t="shared" si="10"/>
        <v>461.94505612678051</v>
      </c>
      <c r="C153" s="37">
        <f t="shared" si="11"/>
        <v>1.1548626403169513E-2</v>
      </c>
    </row>
    <row r="154" spans="1:29" x14ac:dyDescent="0.25">
      <c r="A154">
        <v>50000</v>
      </c>
      <c r="B154" s="93">
        <f t="shared" si="10"/>
        <v>461.94505612678051</v>
      </c>
      <c r="C154" s="37">
        <f t="shared" si="11"/>
        <v>9.2389011225356109E-3</v>
      </c>
    </row>
    <row r="155" spans="1:29" x14ac:dyDescent="0.25">
      <c r="A155">
        <v>60000</v>
      </c>
      <c r="B155" s="93">
        <f t="shared" si="10"/>
        <v>461.94505612678051</v>
      </c>
      <c r="C155" s="37">
        <f t="shared" si="11"/>
        <v>7.6990842687796749E-3</v>
      </c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</row>
    <row r="156" spans="1:29" x14ac:dyDescent="0.25">
      <c r="A156">
        <v>70000</v>
      </c>
      <c r="B156" s="93">
        <f t="shared" si="10"/>
        <v>461.94505612678051</v>
      </c>
      <c r="C156" s="37">
        <f t="shared" si="11"/>
        <v>6.599215087525436E-3</v>
      </c>
    </row>
    <row r="157" spans="1:29" x14ac:dyDescent="0.25">
      <c r="A157">
        <v>80000</v>
      </c>
      <c r="B157" s="93">
        <f t="shared" si="10"/>
        <v>461.94505612678051</v>
      </c>
      <c r="C157" s="37">
        <f t="shared" si="11"/>
        <v>5.7743132015847564E-3</v>
      </c>
    </row>
    <row r="158" spans="1:29" x14ac:dyDescent="0.25">
      <c r="A158">
        <v>90000</v>
      </c>
      <c r="B158" s="93">
        <f t="shared" si="10"/>
        <v>461.94505612678051</v>
      </c>
      <c r="C158" s="37">
        <f t="shared" si="11"/>
        <v>5.1327228458531169E-3</v>
      </c>
    </row>
    <row r="159" spans="1:29" x14ac:dyDescent="0.25">
      <c r="A159">
        <v>100000</v>
      </c>
      <c r="B159" s="93">
        <f t="shared" si="10"/>
        <v>461.94505612678051</v>
      </c>
      <c r="C159" s="37">
        <f t="shared" si="11"/>
        <v>4.6194505612678054E-3</v>
      </c>
    </row>
    <row r="160" spans="1:29" x14ac:dyDescent="0.25">
      <c r="A160">
        <v>110000</v>
      </c>
      <c r="B160" s="93">
        <f t="shared" si="10"/>
        <v>461.94505612678051</v>
      </c>
      <c r="C160" s="37">
        <f t="shared" si="11"/>
        <v>4.1995005102434596E-3</v>
      </c>
    </row>
    <row r="161" spans="1:3" x14ac:dyDescent="0.25">
      <c r="A161">
        <v>120000</v>
      </c>
      <c r="B161" s="93">
        <f t="shared" si="10"/>
        <v>461.94505612678051</v>
      </c>
      <c r="C161" s="37">
        <f t="shared" si="11"/>
        <v>3.8495421343898374E-3</v>
      </c>
    </row>
    <row r="162" spans="1:3" x14ac:dyDescent="0.25">
      <c r="A162">
        <v>130000</v>
      </c>
      <c r="B162" s="93">
        <f t="shared" si="10"/>
        <v>461.94505612678051</v>
      </c>
      <c r="C162" s="37">
        <f t="shared" si="11"/>
        <v>3.5534235086675425E-3</v>
      </c>
    </row>
    <row r="163" spans="1:3" x14ac:dyDescent="0.25">
      <c r="A163">
        <v>140000</v>
      </c>
      <c r="B163" s="93">
        <f t="shared" si="10"/>
        <v>461.94505612678051</v>
      </c>
      <c r="C163" s="37">
        <f t="shared" si="11"/>
        <v>3.299607543762718E-3</v>
      </c>
    </row>
    <row r="164" spans="1:3" x14ac:dyDescent="0.25">
      <c r="A164">
        <v>150000</v>
      </c>
      <c r="B164" s="93">
        <f t="shared" si="10"/>
        <v>461.94505612678051</v>
      </c>
      <c r="C164" s="37">
        <f t="shared" si="11"/>
        <v>3.0796337075118703E-3</v>
      </c>
    </row>
    <row r="165" spans="1:3" x14ac:dyDescent="0.25">
      <c r="A165">
        <v>160000</v>
      </c>
      <c r="B165" s="93">
        <f t="shared" si="10"/>
        <v>461.94505612678051</v>
      </c>
      <c r="C165" s="37">
        <f t="shared" si="11"/>
        <v>2.8871566007923782E-3</v>
      </c>
    </row>
    <row r="166" spans="1:3" x14ac:dyDescent="0.25">
      <c r="A166">
        <v>170000</v>
      </c>
      <c r="B166" s="93">
        <f t="shared" si="10"/>
        <v>461.94505612678051</v>
      </c>
      <c r="C166" s="37">
        <f t="shared" si="11"/>
        <v>2.717323859569297E-3</v>
      </c>
    </row>
    <row r="167" spans="1:3" x14ac:dyDescent="0.25">
      <c r="A167">
        <v>180000</v>
      </c>
      <c r="B167" s="93">
        <f t="shared" si="10"/>
        <v>461.94505612678051</v>
      </c>
      <c r="C167" s="37">
        <f t="shared" si="11"/>
        <v>2.5663614229265584E-3</v>
      </c>
    </row>
    <row r="168" spans="1:3" x14ac:dyDescent="0.25">
      <c r="A168">
        <v>190000</v>
      </c>
      <c r="B168" s="93">
        <f t="shared" si="10"/>
        <v>461.94505612678051</v>
      </c>
      <c r="C168" s="37">
        <f t="shared" si="11"/>
        <v>2.4312897690883183E-3</v>
      </c>
    </row>
    <row r="169" spans="1:3" x14ac:dyDescent="0.25">
      <c r="A169">
        <v>200000</v>
      </c>
      <c r="B169" s="93">
        <f t="shared" si="10"/>
        <v>461.94505612678051</v>
      </c>
      <c r="C169" s="37">
        <f t="shared" si="11"/>
        <v>2.3097252806339027E-3</v>
      </c>
    </row>
    <row r="170" spans="1:3" x14ac:dyDescent="0.25">
      <c r="A170">
        <v>225000</v>
      </c>
      <c r="B170" s="93">
        <f t="shared" si="10"/>
        <v>461.94505612678051</v>
      </c>
      <c r="C170" s="37">
        <f t="shared" ref="C170:C181" si="12">B170/A170</f>
        <v>2.0530891383412466E-3</v>
      </c>
    </row>
    <row r="171" spans="1:3" x14ac:dyDescent="0.25">
      <c r="A171">
        <v>250000</v>
      </c>
      <c r="B171" s="93">
        <f t="shared" si="10"/>
        <v>461.94505612678051</v>
      </c>
      <c r="C171" s="37">
        <f t="shared" si="12"/>
        <v>1.8477802245071221E-3</v>
      </c>
    </row>
    <row r="172" spans="1:3" x14ac:dyDescent="0.25">
      <c r="A172">
        <v>275000</v>
      </c>
      <c r="B172" s="93">
        <f t="shared" si="10"/>
        <v>461.94505612678051</v>
      </c>
      <c r="C172" s="37">
        <f t="shared" si="12"/>
        <v>1.6798002040973837E-3</v>
      </c>
    </row>
    <row r="173" spans="1:3" x14ac:dyDescent="0.25">
      <c r="A173">
        <v>300000</v>
      </c>
      <c r="B173" s="93">
        <f t="shared" si="10"/>
        <v>461.94505612678051</v>
      </c>
      <c r="C173" s="37">
        <f t="shared" si="12"/>
        <v>1.5398168537559351E-3</v>
      </c>
    </row>
    <row r="174" spans="1:3" x14ac:dyDescent="0.25">
      <c r="A174">
        <v>325000</v>
      </c>
      <c r="B174" s="93">
        <f t="shared" si="10"/>
        <v>461.94505612678051</v>
      </c>
      <c r="C174" s="37">
        <f t="shared" si="12"/>
        <v>1.421369403467017E-3</v>
      </c>
    </row>
    <row r="175" spans="1:3" x14ac:dyDescent="0.25">
      <c r="A175">
        <v>350000</v>
      </c>
      <c r="B175" s="93">
        <f t="shared" si="10"/>
        <v>461.94505612678051</v>
      </c>
      <c r="C175" s="37">
        <f t="shared" si="12"/>
        <v>1.3198430175050872E-3</v>
      </c>
    </row>
    <row r="176" spans="1:3" x14ac:dyDescent="0.25">
      <c r="A176">
        <v>375000</v>
      </c>
      <c r="B176" s="93">
        <f t="shared" si="10"/>
        <v>461.94505612678051</v>
      </c>
      <c r="C176" s="37">
        <f t="shared" si="12"/>
        <v>1.2318534830047479E-3</v>
      </c>
    </row>
    <row r="177" spans="1:18" x14ac:dyDescent="0.25">
      <c r="A177">
        <v>400000</v>
      </c>
      <c r="B177" s="93">
        <f t="shared" si="10"/>
        <v>461.94505612678051</v>
      </c>
      <c r="C177" s="37">
        <f t="shared" si="12"/>
        <v>1.1548626403169514E-3</v>
      </c>
    </row>
    <row r="178" spans="1:18" x14ac:dyDescent="0.25">
      <c r="A178">
        <v>425000</v>
      </c>
      <c r="B178" s="93">
        <f t="shared" si="10"/>
        <v>461.94505612678051</v>
      </c>
      <c r="C178" s="37">
        <f t="shared" si="12"/>
        <v>1.0869295438277189E-3</v>
      </c>
    </row>
    <row r="179" spans="1:18" x14ac:dyDescent="0.25">
      <c r="A179">
        <v>450000</v>
      </c>
      <c r="B179" s="93">
        <f t="shared" si="10"/>
        <v>461.94505612678051</v>
      </c>
      <c r="C179" s="37">
        <f t="shared" si="12"/>
        <v>1.0265445691706233E-3</v>
      </c>
    </row>
    <row r="180" spans="1:18" x14ac:dyDescent="0.25">
      <c r="A180">
        <v>475000</v>
      </c>
      <c r="B180" s="93">
        <f t="shared" si="10"/>
        <v>461.94505612678051</v>
      </c>
      <c r="C180" s="37">
        <f t="shared" si="12"/>
        <v>9.7251590763532743E-4</v>
      </c>
    </row>
    <row r="181" spans="1:18" x14ac:dyDescent="0.25">
      <c r="A181">
        <v>500000</v>
      </c>
      <c r="B181" s="93">
        <f t="shared" si="10"/>
        <v>461.94505612678051</v>
      </c>
      <c r="C181" s="37">
        <f t="shared" si="12"/>
        <v>9.2389011225356107E-4</v>
      </c>
    </row>
    <row r="183" spans="1:18" x14ac:dyDescent="0.25">
      <c r="A183" s="40" t="s">
        <v>22</v>
      </c>
      <c r="B183" s="40"/>
      <c r="C183" s="40"/>
      <c r="D183" s="40"/>
      <c r="E183" s="40"/>
      <c r="F183" s="48"/>
      <c r="G183"/>
      <c r="H183" s="40" t="s">
        <v>23</v>
      </c>
      <c r="I183" s="32"/>
      <c r="J183" s="33"/>
      <c r="K183" s="45"/>
      <c r="L183" s="40" t="s">
        <v>24</v>
      </c>
    </row>
    <row r="184" spans="1:18" x14ac:dyDescent="0.25">
      <c r="C184"/>
      <c r="F184" s="31"/>
      <c r="G184"/>
      <c r="H184" s="57">
        <v>0.30299999999999999</v>
      </c>
      <c r="I184" s="101" t="s">
        <v>54</v>
      </c>
      <c r="J184" s="33"/>
      <c r="L184" t="s">
        <v>84</v>
      </c>
    </row>
    <row r="185" spans="1:18" x14ac:dyDescent="0.25">
      <c r="A185" s="100" t="s">
        <v>113</v>
      </c>
      <c r="B185" s="100"/>
      <c r="C185" s="100"/>
      <c r="D185" s="100"/>
      <c r="F185" s="31"/>
      <c r="G185"/>
      <c r="H185" s="102"/>
      <c r="I185" s="101" t="s">
        <v>55</v>
      </c>
      <c r="J185" s="33"/>
      <c r="L185" t="s">
        <v>85</v>
      </c>
    </row>
    <row r="186" spans="1:18" x14ac:dyDescent="0.25">
      <c r="B186" t="s">
        <v>25</v>
      </c>
      <c r="C186" t="s">
        <v>26</v>
      </c>
      <c r="D186" t="s">
        <v>27</v>
      </c>
      <c r="F186" s="31"/>
      <c r="G186"/>
      <c r="H186" s="57">
        <f>H184*(72000/100)</f>
        <v>218.16</v>
      </c>
      <c r="I186" s="101" t="s">
        <v>56</v>
      </c>
      <c r="J186" s="33"/>
      <c r="M186" t="s">
        <v>25</v>
      </c>
      <c r="N186" t="s">
        <v>26</v>
      </c>
      <c r="O186" t="s">
        <v>27</v>
      </c>
      <c r="P186" t="s">
        <v>28</v>
      </c>
    </row>
    <row r="187" spans="1:18" x14ac:dyDescent="0.25">
      <c r="A187">
        <v>10000</v>
      </c>
      <c r="B187">
        <v>5.44</v>
      </c>
      <c r="C187" s="36">
        <f>(B187*A187/1000)/12</f>
        <v>4.5333333333333341</v>
      </c>
      <c r="D187" s="36">
        <f>C187*12</f>
        <v>54.400000000000006</v>
      </c>
      <c r="E187" s="33">
        <f>D187/A187</f>
        <v>5.4400000000000004E-3</v>
      </c>
      <c r="F187" s="49"/>
      <c r="G187"/>
      <c r="H187" s="41">
        <f t="shared" ref="H187:H193" si="13">I187/100*$H$184</f>
        <v>30.3</v>
      </c>
      <c r="I187" s="32">
        <v>10000</v>
      </c>
      <c r="J187" s="44">
        <f>H187/I187</f>
        <v>3.0300000000000001E-3</v>
      </c>
      <c r="L187" s="32">
        <v>10000</v>
      </c>
      <c r="M187">
        <v>13.55</v>
      </c>
      <c r="N187" s="36">
        <f>(M187*L187/1000)/12</f>
        <v>11.291666666666666</v>
      </c>
      <c r="O187" s="36">
        <f>N187*12</f>
        <v>135.5</v>
      </c>
      <c r="P187" s="44">
        <f>O187/L187</f>
        <v>1.355E-2</v>
      </c>
      <c r="Q187" s="33"/>
    </row>
    <row r="188" spans="1:18" x14ac:dyDescent="0.25">
      <c r="A188">
        <v>20000</v>
      </c>
      <c r="B188">
        <v>5.44</v>
      </c>
      <c r="C188" s="36">
        <f>(B188*A188/1000)/12</f>
        <v>9.0666666666666682</v>
      </c>
      <c r="D188" s="36">
        <f t="shared" ref="D188:D218" si="14">C188*12</f>
        <v>108.80000000000001</v>
      </c>
      <c r="E188" s="33">
        <f t="shared" ref="E188:E218" si="15">D188/A188</f>
        <v>5.4400000000000004E-3</v>
      </c>
      <c r="F188" s="31"/>
      <c r="G188"/>
      <c r="H188" s="41">
        <f t="shared" si="13"/>
        <v>60.6</v>
      </c>
      <c r="I188" s="32">
        <v>20000</v>
      </c>
      <c r="J188" s="44">
        <f t="shared" ref="J188:J218" si="16">H188/I188</f>
        <v>3.0300000000000001E-3</v>
      </c>
      <c r="L188" s="32">
        <v>20000</v>
      </c>
      <c r="M188">
        <v>13.55</v>
      </c>
      <c r="N188" s="36">
        <f>(M188*L188/1000)/12</f>
        <v>22.583333333333332</v>
      </c>
      <c r="O188" s="36">
        <f t="shared" ref="O188:O218" si="17">N188*12</f>
        <v>271</v>
      </c>
      <c r="P188" s="44">
        <f>O188/L188</f>
        <v>1.355E-2</v>
      </c>
      <c r="Q188" s="33"/>
    </row>
    <row r="189" spans="1:18" x14ac:dyDescent="0.25">
      <c r="A189">
        <v>30000</v>
      </c>
      <c r="B189">
        <v>5.44</v>
      </c>
      <c r="C189" s="36">
        <f t="shared" ref="C189:C191" si="18">(B189*A189/1000)/12</f>
        <v>13.6</v>
      </c>
      <c r="D189" s="36">
        <f t="shared" si="14"/>
        <v>163.19999999999999</v>
      </c>
      <c r="E189" s="33">
        <f t="shared" si="15"/>
        <v>5.4399999999999995E-3</v>
      </c>
      <c r="F189" s="31"/>
      <c r="G189"/>
      <c r="H189" s="41">
        <f t="shared" si="13"/>
        <v>90.899999999999991</v>
      </c>
      <c r="I189" s="32">
        <v>30000</v>
      </c>
      <c r="J189" s="44">
        <f t="shared" si="16"/>
        <v>3.0299999999999997E-3</v>
      </c>
      <c r="L189" s="32">
        <v>30000</v>
      </c>
      <c r="M189">
        <v>13.55</v>
      </c>
      <c r="N189" s="36">
        <f>(M189*28800/1000)/12</f>
        <v>32.520000000000003</v>
      </c>
      <c r="O189" s="36">
        <f t="shared" si="17"/>
        <v>390.24</v>
      </c>
      <c r="P189" s="44">
        <f>O189/L189</f>
        <v>1.3008E-2</v>
      </c>
      <c r="Q189" s="33"/>
      <c r="R189" s="50"/>
    </row>
    <row r="190" spans="1:18" x14ac:dyDescent="0.25">
      <c r="A190">
        <v>40000</v>
      </c>
      <c r="B190">
        <v>5.44</v>
      </c>
      <c r="C190" s="36">
        <f t="shared" si="18"/>
        <v>18.133333333333336</v>
      </c>
      <c r="D190" s="36">
        <f t="shared" si="14"/>
        <v>217.60000000000002</v>
      </c>
      <c r="E190" s="33">
        <f t="shared" si="15"/>
        <v>5.4400000000000004E-3</v>
      </c>
      <c r="F190" s="31"/>
      <c r="G190"/>
      <c r="H190" s="41">
        <f t="shared" si="13"/>
        <v>121.2</v>
      </c>
      <c r="I190" s="32">
        <v>40000</v>
      </c>
      <c r="J190" s="44">
        <f t="shared" si="16"/>
        <v>3.0300000000000001E-3</v>
      </c>
      <c r="L190" s="32">
        <v>40000</v>
      </c>
      <c r="M190">
        <v>13.55</v>
      </c>
      <c r="N190" s="36">
        <f t="shared" ref="N190:N218" si="19">(M190*28800/1000)/12</f>
        <v>32.520000000000003</v>
      </c>
      <c r="O190" s="36">
        <f t="shared" si="17"/>
        <v>390.24</v>
      </c>
      <c r="P190" s="44">
        <f>O190/L190</f>
        <v>9.7560000000000008E-3</v>
      </c>
      <c r="Q190" s="33"/>
    </row>
    <row r="191" spans="1:18" x14ac:dyDescent="0.25">
      <c r="A191">
        <v>50000</v>
      </c>
      <c r="B191">
        <v>5.44</v>
      </c>
      <c r="C191" s="36">
        <f t="shared" si="18"/>
        <v>22.666666666666668</v>
      </c>
      <c r="D191" s="36">
        <f t="shared" si="14"/>
        <v>272</v>
      </c>
      <c r="E191" s="33">
        <f t="shared" si="15"/>
        <v>5.4400000000000004E-3</v>
      </c>
      <c r="F191" s="31"/>
      <c r="G191"/>
      <c r="H191" s="41">
        <f t="shared" si="13"/>
        <v>151.5</v>
      </c>
      <c r="I191" s="32">
        <v>50000</v>
      </c>
      <c r="J191" s="44">
        <f t="shared" si="16"/>
        <v>3.0300000000000001E-3</v>
      </c>
      <c r="L191" s="32">
        <v>50000</v>
      </c>
      <c r="M191">
        <v>13.55</v>
      </c>
      <c r="N191" s="36">
        <f t="shared" si="19"/>
        <v>32.520000000000003</v>
      </c>
      <c r="O191" s="36">
        <f t="shared" si="17"/>
        <v>390.24</v>
      </c>
      <c r="P191" s="44">
        <f t="shared" ref="P191:P218" si="20">O191/L191</f>
        <v>7.8047999999999998E-3</v>
      </c>
      <c r="Q191" s="33"/>
    </row>
    <row r="192" spans="1:18" x14ac:dyDescent="0.25">
      <c r="A192">
        <v>60000</v>
      </c>
      <c r="B192">
        <v>5.44</v>
      </c>
      <c r="C192" s="36">
        <f>(B192*60000/1000)/12</f>
        <v>27.2</v>
      </c>
      <c r="D192" s="36">
        <f t="shared" si="14"/>
        <v>326.39999999999998</v>
      </c>
      <c r="E192" s="33">
        <f t="shared" si="15"/>
        <v>5.4399999999999995E-3</v>
      </c>
      <c r="F192" s="31"/>
      <c r="G192"/>
      <c r="H192" s="41">
        <f t="shared" si="13"/>
        <v>181.79999999999998</v>
      </c>
      <c r="I192" s="32">
        <v>60000</v>
      </c>
      <c r="J192" s="44">
        <f t="shared" si="16"/>
        <v>3.0299999999999997E-3</v>
      </c>
      <c r="L192" s="32">
        <v>60000</v>
      </c>
      <c r="M192">
        <v>13.55</v>
      </c>
      <c r="N192" s="36">
        <f t="shared" si="19"/>
        <v>32.520000000000003</v>
      </c>
      <c r="O192" s="36">
        <f t="shared" si="17"/>
        <v>390.24</v>
      </c>
      <c r="P192" s="44">
        <f t="shared" si="20"/>
        <v>6.5040000000000002E-3</v>
      </c>
      <c r="Q192" s="33"/>
    </row>
    <row r="193" spans="1:17" x14ac:dyDescent="0.25">
      <c r="A193">
        <v>70000</v>
      </c>
      <c r="B193">
        <v>5.44</v>
      </c>
      <c r="C193" s="36">
        <f>(B193*67800/1000)/12</f>
        <v>30.736000000000001</v>
      </c>
      <c r="D193" s="36">
        <f t="shared" si="14"/>
        <v>368.83199999999999</v>
      </c>
      <c r="E193" s="33">
        <f t="shared" si="15"/>
        <v>5.2690285714285714E-3</v>
      </c>
      <c r="F193" s="31" t="s">
        <v>114</v>
      </c>
      <c r="G193"/>
      <c r="H193" s="41">
        <f t="shared" si="13"/>
        <v>212.1</v>
      </c>
      <c r="I193" s="32">
        <v>70000</v>
      </c>
      <c r="J193" s="44">
        <f t="shared" si="16"/>
        <v>3.0299999999999997E-3</v>
      </c>
      <c r="L193" s="32">
        <v>70000</v>
      </c>
      <c r="M193">
        <v>13.55</v>
      </c>
      <c r="N193" s="36">
        <f t="shared" si="19"/>
        <v>32.520000000000003</v>
      </c>
      <c r="O193" s="36">
        <f t="shared" si="17"/>
        <v>390.24</v>
      </c>
      <c r="P193" s="44">
        <f t="shared" si="20"/>
        <v>5.5748571428571427E-3</v>
      </c>
      <c r="Q193" s="33"/>
    </row>
    <row r="194" spans="1:17" x14ac:dyDescent="0.25">
      <c r="A194">
        <v>80000</v>
      </c>
      <c r="B194">
        <v>5.44</v>
      </c>
      <c r="C194" s="36">
        <f t="shared" ref="C194:C218" si="21">(B194*67800/1000)/12</f>
        <v>30.736000000000001</v>
      </c>
      <c r="D194" s="36">
        <f t="shared" si="14"/>
        <v>368.83199999999999</v>
      </c>
      <c r="E194" s="33">
        <f t="shared" si="15"/>
        <v>4.6103999999999997E-3</v>
      </c>
      <c r="F194" s="31"/>
      <c r="G194"/>
      <c r="H194" s="41">
        <f t="shared" ref="H194:H218" si="22">$H$186</f>
        <v>218.16</v>
      </c>
      <c r="I194" s="32">
        <v>80000</v>
      </c>
      <c r="J194" s="44">
        <f t="shared" si="16"/>
        <v>2.7269999999999998E-3</v>
      </c>
      <c r="L194" s="32">
        <v>80000</v>
      </c>
      <c r="M194">
        <v>13.55</v>
      </c>
      <c r="N194" s="36">
        <f t="shared" si="19"/>
        <v>32.520000000000003</v>
      </c>
      <c r="O194" s="36">
        <f t="shared" si="17"/>
        <v>390.24</v>
      </c>
      <c r="P194" s="44">
        <f t="shared" si="20"/>
        <v>4.8780000000000004E-3</v>
      </c>
      <c r="Q194" s="33"/>
    </row>
    <row r="195" spans="1:17" x14ac:dyDescent="0.25">
      <c r="A195">
        <v>90000</v>
      </c>
      <c r="B195">
        <v>5.44</v>
      </c>
      <c r="C195" s="36">
        <f t="shared" si="21"/>
        <v>30.736000000000001</v>
      </c>
      <c r="D195" s="36">
        <f t="shared" si="14"/>
        <v>368.83199999999999</v>
      </c>
      <c r="E195" s="33">
        <f t="shared" si="15"/>
        <v>4.0981333333333335E-3</v>
      </c>
      <c r="F195" s="31"/>
      <c r="G195"/>
      <c r="H195" s="41">
        <f t="shared" si="22"/>
        <v>218.16</v>
      </c>
      <c r="I195" s="32">
        <v>90000</v>
      </c>
      <c r="J195" s="44">
        <f t="shared" si="16"/>
        <v>2.4239999999999999E-3</v>
      </c>
      <c r="L195" s="32">
        <v>90000</v>
      </c>
      <c r="M195">
        <v>13.55</v>
      </c>
      <c r="N195" s="36">
        <f t="shared" si="19"/>
        <v>32.520000000000003</v>
      </c>
      <c r="O195" s="36">
        <f t="shared" si="17"/>
        <v>390.24</v>
      </c>
      <c r="P195" s="44">
        <f t="shared" si="20"/>
        <v>4.3360000000000004E-3</v>
      </c>
      <c r="Q195" s="33"/>
    </row>
    <row r="196" spans="1:17" x14ac:dyDescent="0.25">
      <c r="A196">
        <v>100000</v>
      </c>
      <c r="B196">
        <v>5.44</v>
      </c>
      <c r="C196" s="36">
        <f t="shared" si="21"/>
        <v>30.736000000000001</v>
      </c>
      <c r="D196" s="36">
        <f t="shared" si="14"/>
        <v>368.83199999999999</v>
      </c>
      <c r="E196" s="33">
        <f t="shared" si="15"/>
        <v>3.6883200000000001E-3</v>
      </c>
      <c r="F196" s="31"/>
      <c r="G196"/>
      <c r="H196" s="41">
        <f t="shared" si="22"/>
        <v>218.16</v>
      </c>
      <c r="I196" s="32">
        <v>100000</v>
      </c>
      <c r="J196" s="44">
        <f t="shared" si="16"/>
        <v>2.1816000000000001E-3</v>
      </c>
      <c r="L196" s="32">
        <v>100000</v>
      </c>
      <c r="M196">
        <v>13.55</v>
      </c>
      <c r="N196" s="36">
        <f t="shared" si="19"/>
        <v>32.520000000000003</v>
      </c>
      <c r="O196" s="36">
        <f t="shared" si="17"/>
        <v>390.24</v>
      </c>
      <c r="P196" s="44">
        <f t="shared" si="20"/>
        <v>3.9023999999999999E-3</v>
      </c>
      <c r="Q196" s="33"/>
    </row>
    <row r="197" spans="1:17" x14ac:dyDescent="0.25">
      <c r="A197">
        <v>110000</v>
      </c>
      <c r="B197">
        <v>5.44</v>
      </c>
      <c r="C197" s="36">
        <f t="shared" si="21"/>
        <v>30.736000000000001</v>
      </c>
      <c r="D197" s="36">
        <f t="shared" si="14"/>
        <v>368.83199999999999</v>
      </c>
      <c r="E197" s="33">
        <f t="shared" si="15"/>
        <v>3.3530181818181817E-3</v>
      </c>
      <c r="F197" s="31"/>
      <c r="G197"/>
      <c r="H197" s="41">
        <f t="shared" si="22"/>
        <v>218.16</v>
      </c>
      <c r="I197" s="32">
        <v>110000</v>
      </c>
      <c r="J197" s="44">
        <f t="shared" si="16"/>
        <v>1.9832727272727272E-3</v>
      </c>
      <c r="L197" s="32">
        <v>110000</v>
      </c>
      <c r="M197">
        <v>13.55</v>
      </c>
      <c r="N197" s="36">
        <f t="shared" si="19"/>
        <v>32.520000000000003</v>
      </c>
      <c r="O197" s="36">
        <f t="shared" si="17"/>
        <v>390.24</v>
      </c>
      <c r="P197" s="44">
        <f t="shared" si="20"/>
        <v>3.5476363636363639E-3</v>
      </c>
      <c r="Q197" s="33"/>
    </row>
    <row r="198" spans="1:17" x14ac:dyDescent="0.25">
      <c r="A198">
        <v>120000</v>
      </c>
      <c r="B198">
        <v>5.44</v>
      </c>
      <c r="C198" s="36">
        <f t="shared" si="21"/>
        <v>30.736000000000001</v>
      </c>
      <c r="D198" s="36">
        <f t="shared" si="14"/>
        <v>368.83199999999999</v>
      </c>
      <c r="E198" s="33">
        <f t="shared" si="15"/>
        <v>3.0736000000000001E-3</v>
      </c>
      <c r="F198" s="31"/>
      <c r="G198"/>
      <c r="H198" s="41">
        <f t="shared" si="22"/>
        <v>218.16</v>
      </c>
      <c r="I198" s="32">
        <v>120000</v>
      </c>
      <c r="J198" s="44">
        <f t="shared" si="16"/>
        <v>1.818E-3</v>
      </c>
      <c r="L198" s="32">
        <v>120000</v>
      </c>
      <c r="M198">
        <v>13.55</v>
      </c>
      <c r="N198" s="36">
        <f t="shared" si="19"/>
        <v>32.520000000000003</v>
      </c>
      <c r="O198" s="36">
        <f t="shared" si="17"/>
        <v>390.24</v>
      </c>
      <c r="P198" s="44">
        <f t="shared" si="20"/>
        <v>3.2520000000000001E-3</v>
      </c>
      <c r="Q198" s="33"/>
    </row>
    <row r="199" spans="1:17" x14ac:dyDescent="0.25">
      <c r="A199">
        <v>130000</v>
      </c>
      <c r="B199">
        <v>5.44</v>
      </c>
      <c r="C199" s="36">
        <f t="shared" si="21"/>
        <v>30.736000000000001</v>
      </c>
      <c r="D199" s="36">
        <f t="shared" si="14"/>
        <v>368.83199999999999</v>
      </c>
      <c r="E199" s="33">
        <f t="shared" si="15"/>
        <v>2.8371692307692306E-3</v>
      </c>
      <c r="F199" s="31"/>
      <c r="G199"/>
      <c r="H199" s="41">
        <f t="shared" si="22"/>
        <v>218.16</v>
      </c>
      <c r="I199" s="32">
        <v>130000</v>
      </c>
      <c r="J199" s="44">
        <f t="shared" si="16"/>
        <v>1.6781538461538461E-3</v>
      </c>
      <c r="L199" s="32">
        <v>130000</v>
      </c>
      <c r="M199">
        <v>13.55</v>
      </c>
      <c r="N199" s="36">
        <f t="shared" si="19"/>
        <v>32.520000000000003</v>
      </c>
      <c r="O199" s="36">
        <f t="shared" si="17"/>
        <v>390.24</v>
      </c>
      <c r="P199" s="44">
        <f t="shared" si="20"/>
        <v>3.001846153846154E-3</v>
      </c>
    </row>
    <row r="200" spans="1:17" x14ac:dyDescent="0.25">
      <c r="A200">
        <v>140000</v>
      </c>
      <c r="B200">
        <v>5.44</v>
      </c>
      <c r="C200" s="36">
        <f t="shared" si="21"/>
        <v>30.736000000000001</v>
      </c>
      <c r="D200" s="36">
        <f t="shared" si="14"/>
        <v>368.83199999999999</v>
      </c>
      <c r="E200" s="33">
        <f t="shared" si="15"/>
        <v>2.6345142857142857E-3</v>
      </c>
      <c r="F200" s="31"/>
      <c r="G200"/>
      <c r="H200" s="41">
        <f t="shared" si="22"/>
        <v>218.16</v>
      </c>
      <c r="I200" s="32">
        <v>140000</v>
      </c>
      <c r="J200" s="44">
        <f t="shared" si="16"/>
        <v>1.5582857142857143E-3</v>
      </c>
      <c r="L200" s="32">
        <v>140000</v>
      </c>
      <c r="M200">
        <v>13.55</v>
      </c>
      <c r="N200" s="36">
        <f t="shared" si="19"/>
        <v>32.520000000000003</v>
      </c>
      <c r="O200" s="36">
        <f t="shared" si="17"/>
        <v>390.24</v>
      </c>
      <c r="P200" s="44">
        <f t="shared" si="20"/>
        <v>2.7874285714285713E-3</v>
      </c>
    </row>
    <row r="201" spans="1:17" x14ac:dyDescent="0.25">
      <c r="A201">
        <v>150000</v>
      </c>
      <c r="B201">
        <v>5.44</v>
      </c>
      <c r="C201" s="36">
        <f t="shared" si="21"/>
        <v>30.736000000000001</v>
      </c>
      <c r="D201" s="36">
        <f t="shared" si="14"/>
        <v>368.83199999999999</v>
      </c>
      <c r="E201" s="33">
        <f t="shared" si="15"/>
        <v>2.4588800000000001E-3</v>
      </c>
      <c r="F201" s="31"/>
      <c r="G201"/>
      <c r="H201" s="41">
        <f t="shared" si="22"/>
        <v>218.16</v>
      </c>
      <c r="I201" s="32">
        <v>150000</v>
      </c>
      <c r="J201" s="44">
        <f t="shared" si="16"/>
        <v>1.4544E-3</v>
      </c>
      <c r="L201" s="32">
        <v>150000</v>
      </c>
      <c r="M201">
        <v>13.55</v>
      </c>
      <c r="N201" s="36">
        <f t="shared" si="19"/>
        <v>32.520000000000003</v>
      </c>
      <c r="O201" s="36">
        <f t="shared" si="17"/>
        <v>390.24</v>
      </c>
      <c r="P201" s="44">
        <f t="shared" si="20"/>
        <v>2.6015999999999999E-3</v>
      </c>
    </row>
    <row r="202" spans="1:17" x14ac:dyDescent="0.25">
      <c r="A202">
        <v>160000</v>
      </c>
      <c r="B202">
        <v>5.44</v>
      </c>
      <c r="C202" s="36">
        <f t="shared" si="21"/>
        <v>30.736000000000001</v>
      </c>
      <c r="D202" s="36">
        <f t="shared" si="14"/>
        <v>368.83199999999999</v>
      </c>
      <c r="E202" s="33">
        <f t="shared" si="15"/>
        <v>2.3051999999999999E-3</v>
      </c>
      <c r="F202" s="31"/>
      <c r="G202"/>
      <c r="H202" s="41">
        <f t="shared" si="22"/>
        <v>218.16</v>
      </c>
      <c r="I202" s="32">
        <v>160000</v>
      </c>
      <c r="J202" s="44">
        <f t="shared" si="16"/>
        <v>1.3634999999999999E-3</v>
      </c>
      <c r="L202" s="32">
        <v>160000</v>
      </c>
      <c r="M202">
        <v>13.55</v>
      </c>
      <c r="N202" s="36">
        <f t="shared" si="19"/>
        <v>32.520000000000003</v>
      </c>
      <c r="O202" s="36">
        <f t="shared" si="17"/>
        <v>390.24</v>
      </c>
      <c r="P202" s="44">
        <f t="shared" si="20"/>
        <v>2.4390000000000002E-3</v>
      </c>
    </row>
    <row r="203" spans="1:17" x14ac:dyDescent="0.25">
      <c r="A203">
        <v>170000</v>
      </c>
      <c r="B203">
        <v>5.44</v>
      </c>
      <c r="C203" s="36">
        <f t="shared" si="21"/>
        <v>30.736000000000001</v>
      </c>
      <c r="D203" s="36">
        <f t="shared" si="14"/>
        <v>368.83199999999999</v>
      </c>
      <c r="E203" s="33">
        <f t="shared" si="15"/>
        <v>2.1695999999999998E-3</v>
      </c>
      <c r="F203" s="31"/>
      <c r="G203"/>
      <c r="H203" s="41">
        <f t="shared" si="22"/>
        <v>218.16</v>
      </c>
      <c r="I203" s="32">
        <v>170000</v>
      </c>
      <c r="J203" s="44">
        <f t="shared" si="16"/>
        <v>1.2832941176470589E-3</v>
      </c>
      <c r="L203" s="32">
        <v>170000</v>
      </c>
      <c r="M203">
        <v>13.55</v>
      </c>
      <c r="N203" s="36">
        <f t="shared" si="19"/>
        <v>32.520000000000003</v>
      </c>
      <c r="O203" s="36">
        <f t="shared" si="17"/>
        <v>390.24</v>
      </c>
      <c r="P203" s="44">
        <f t="shared" si="20"/>
        <v>2.2955294117647058E-3</v>
      </c>
    </row>
    <row r="204" spans="1:17" x14ac:dyDescent="0.25">
      <c r="A204">
        <v>180000</v>
      </c>
      <c r="B204">
        <v>5.44</v>
      </c>
      <c r="C204" s="36">
        <f t="shared" si="21"/>
        <v>30.736000000000001</v>
      </c>
      <c r="D204" s="36">
        <f t="shared" si="14"/>
        <v>368.83199999999999</v>
      </c>
      <c r="E204" s="33">
        <f t="shared" si="15"/>
        <v>2.0490666666666667E-3</v>
      </c>
      <c r="F204" s="31"/>
      <c r="G204"/>
      <c r="H204" s="41">
        <f t="shared" si="22"/>
        <v>218.16</v>
      </c>
      <c r="I204" s="32">
        <v>180000</v>
      </c>
      <c r="J204" s="44">
        <f t="shared" si="16"/>
        <v>1.212E-3</v>
      </c>
      <c r="L204" s="32">
        <v>180000</v>
      </c>
      <c r="M204">
        <v>13.55</v>
      </c>
      <c r="N204" s="36">
        <f t="shared" si="19"/>
        <v>32.520000000000003</v>
      </c>
      <c r="O204" s="36">
        <f t="shared" si="17"/>
        <v>390.24</v>
      </c>
      <c r="P204" s="44">
        <f t="shared" si="20"/>
        <v>2.1680000000000002E-3</v>
      </c>
    </row>
    <row r="205" spans="1:17" x14ac:dyDescent="0.25">
      <c r="A205">
        <v>190000</v>
      </c>
      <c r="B205">
        <v>5.44</v>
      </c>
      <c r="C205" s="36">
        <f t="shared" si="21"/>
        <v>30.736000000000001</v>
      </c>
      <c r="D205" s="36">
        <f t="shared" si="14"/>
        <v>368.83199999999999</v>
      </c>
      <c r="E205" s="33">
        <f t="shared" si="15"/>
        <v>1.9412210526315789E-3</v>
      </c>
      <c r="F205" s="31"/>
      <c r="G205"/>
      <c r="H205" s="41">
        <f t="shared" si="22"/>
        <v>218.16</v>
      </c>
      <c r="I205" s="32">
        <v>190000</v>
      </c>
      <c r="J205" s="44">
        <f t="shared" si="16"/>
        <v>1.1482105263157895E-3</v>
      </c>
      <c r="L205" s="32">
        <v>190000</v>
      </c>
      <c r="M205">
        <v>13.55</v>
      </c>
      <c r="N205" s="36">
        <f t="shared" si="19"/>
        <v>32.520000000000003</v>
      </c>
      <c r="O205" s="36">
        <f t="shared" si="17"/>
        <v>390.24</v>
      </c>
      <c r="P205" s="44">
        <f t="shared" si="20"/>
        <v>2.0538947368421052E-3</v>
      </c>
    </row>
    <row r="206" spans="1:17" x14ac:dyDescent="0.25">
      <c r="A206">
        <v>200000</v>
      </c>
      <c r="B206">
        <v>5.44</v>
      </c>
      <c r="C206" s="36">
        <f t="shared" si="21"/>
        <v>30.736000000000001</v>
      </c>
      <c r="D206" s="36">
        <f t="shared" si="14"/>
        <v>368.83199999999999</v>
      </c>
      <c r="E206" s="33">
        <f t="shared" si="15"/>
        <v>1.8441600000000001E-3</v>
      </c>
      <c r="F206" s="31"/>
      <c r="G206"/>
      <c r="H206" s="41">
        <f t="shared" si="22"/>
        <v>218.16</v>
      </c>
      <c r="I206" s="32">
        <v>200000</v>
      </c>
      <c r="J206" s="44">
        <f t="shared" si="16"/>
        <v>1.0908000000000001E-3</v>
      </c>
      <c r="L206" s="32">
        <v>200000</v>
      </c>
      <c r="M206">
        <v>13.55</v>
      </c>
      <c r="N206" s="36">
        <f t="shared" si="19"/>
        <v>32.520000000000003</v>
      </c>
      <c r="O206" s="36">
        <f t="shared" si="17"/>
        <v>390.24</v>
      </c>
      <c r="P206" s="44">
        <f t="shared" si="20"/>
        <v>1.9511999999999999E-3</v>
      </c>
    </row>
    <row r="207" spans="1:17" x14ac:dyDescent="0.25">
      <c r="A207">
        <v>225000</v>
      </c>
      <c r="B207">
        <v>5.44</v>
      </c>
      <c r="C207" s="36">
        <f t="shared" si="21"/>
        <v>30.736000000000001</v>
      </c>
      <c r="D207" s="36">
        <f t="shared" si="14"/>
        <v>368.83199999999999</v>
      </c>
      <c r="E207" s="33">
        <f t="shared" si="15"/>
        <v>1.6392533333333334E-3</v>
      </c>
      <c r="F207" s="31"/>
      <c r="G207"/>
      <c r="H207" s="41">
        <f t="shared" si="22"/>
        <v>218.16</v>
      </c>
      <c r="I207" s="32">
        <v>225000</v>
      </c>
      <c r="J207" s="44">
        <f t="shared" si="16"/>
        <v>9.6959999999999993E-4</v>
      </c>
      <c r="L207" s="32">
        <v>225000</v>
      </c>
      <c r="M207">
        <v>13.55</v>
      </c>
      <c r="N207" s="36">
        <f t="shared" si="19"/>
        <v>32.520000000000003</v>
      </c>
      <c r="O207" s="36">
        <f t="shared" si="17"/>
        <v>390.24</v>
      </c>
      <c r="P207" s="44">
        <f t="shared" si="20"/>
        <v>1.7344000000000001E-3</v>
      </c>
    </row>
    <row r="208" spans="1:17" x14ac:dyDescent="0.25">
      <c r="A208">
        <v>250000</v>
      </c>
      <c r="B208">
        <v>5.44</v>
      </c>
      <c r="C208" s="36">
        <f t="shared" si="21"/>
        <v>30.736000000000001</v>
      </c>
      <c r="D208" s="36">
        <f t="shared" si="14"/>
        <v>368.83199999999999</v>
      </c>
      <c r="E208" s="33">
        <f t="shared" si="15"/>
        <v>1.4753279999999999E-3</v>
      </c>
      <c r="F208" s="31"/>
      <c r="G208"/>
      <c r="H208" s="41">
        <f t="shared" si="22"/>
        <v>218.16</v>
      </c>
      <c r="I208" s="32">
        <v>250000</v>
      </c>
      <c r="J208" s="44">
        <f t="shared" si="16"/>
        <v>8.7263999999999994E-4</v>
      </c>
      <c r="L208" s="32">
        <v>250000</v>
      </c>
      <c r="M208">
        <v>13.55</v>
      </c>
      <c r="N208" s="36">
        <f t="shared" si="19"/>
        <v>32.520000000000003</v>
      </c>
      <c r="O208" s="36">
        <f t="shared" si="17"/>
        <v>390.24</v>
      </c>
      <c r="P208" s="44">
        <f t="shared" si="20"/>
        <v>1.5609600000000001E-3</v>
      </c>
    </row>
    <row r="209" spans="1:16" x14ac:dyDescent="0.25">
      <c r="A209">
        <v>275000</v>
      </c>
      <c r="B209">
        <v>5.44</v>
      </c>
      <c r="C209" s="36">
        <f t="shared" si="21"/>
        <v>30.736000000000001</v>
      </c>
      <c r="D209" s="36">
        <f t="shared" si="14"/>
        <v>368.83199999999999</v>
      </c>
      <c r="E209" s="33">
        <f t="shared" si="15"/>
        <v>1.3412072727272727E-3</v>
      </c>
      <c r="F209" s="31"/>
      <c r="G209"/>
      <c r="H209" s="41">
        <f t="shared" si="22"/>
        <v>218.16</v>
      </c>
      <c r="I209" s="32">
        <v>275000</v>
      </c>
      <c r="J209" s="44">
        <f t="shared" si="16"/>
        <v>7.9330909090909087E-4</v>
      </c>
      <c r="L209" s="32">
        <v>275000</v>
      </c>
      <c r="M209">
        <v>13.55</v>
      </c>
      <c r="N209" s="36">
        <f t="shared" si="19"/>
        <v>32.520000000000003</v>
      </c>
      <c r="O209" s="36">
        <f t="shared" si="17"/>
        <v>390.24</v>
      </c>
      <c r="P209" s="44">
        <f t="shared" si="20"/>
        <v>1.4190545454545456E-3</v>
      </c>
    </row>
    <row r="210" spans="1:16" x14ac:dyDescent="0.25">
      <c r="A210">
        <v>300000</v>
      </c>
      <c r="B210">
        <v>5.44</v>
      </c>
      <c r="C210" s="36">
        <f t="shared" si="21"/>
        <v>30.736000000000001</v>
      </c>
      <c r="D210" s="36">
        <f t="shared" si="14"/>
        <v>368.83199999999999</v>
      </c>
      <c r="E210" s="33">
        <f t="shared" si="15"/>
        <v>1.22944E-3</v>
      </c>
      <c r="F210" s="31"/>
      <c r="G210"/>
      <c r="H210" s="41">
        <f t="shared" si="22"/>
        <v>218.16</v>
      </c>
      <c r="I210" s="32">
        <v>300000</v>
      </c>
      <c r="J210" s="44">
        <f t="shared" si="16"/>
        <v>7.272E-4</v>
      </c>
      <c r="L210" s="32">
        <v>300000</v>
      </c>
      <c r="M210">
        <v>13.55</v>
      </c>
      <c r="N210" s="36">
        <f t="shared" si="19"/>
        <v>32.520000000000003</v>
      </c>
      <c r="O210" s="36">
        <f t="shared" si="17"/>
        <v>390.24</v>
      </c>
      <c r="P210" s="44">
        <f t="shared" si="20"/>
        <v>1.3008E-3</v>
      </c>
    </row>
    <row r="211" spans="1:16" x14ac:dyDescent="0.25">
      <c r="A211">
        <v>325000</v>
      </c>
      <c r="B211">
        <v>5.44</v>
      </c>
      <c r="C211" s="36">
        <f t="shared" si="21"/>
        <v>30.736000000000001</v>
      </c>
      <c r="D211" s="36">
        <f t="shared" si="14"/>
        <v>368.83199999999999</v>
      </c>
      <c r="E211" s="33">
        <f t="shared" si="15"/>
        <v>1.1348676923076922E-3</v>
      </c>
      <c r="F211" s="31"/>
      <c r="G211"/>
      <c r="H211" s="41">
        <f t="shared" si="22"/>
        <v>218.16</v>
      </c>
      <c r="I211" s="32">
        <v>325000</v>
      </c>
      <c r="J211" s="44">
        <f t="shared" si="16"/>
        <v>6.7126153846153841E-4</v>
      </c>
      <c r="L211" s="32">
        <v>325000</v>
      </c>
      <c r="M211">
        <v>13.55</v>
      </c>
      <c r="N211" s="36">
        <f t="shared" si="19"/>
        <v>32.520000000000003</v>
      </c>
      <c r="O211" s="36">
        <f t="shared" si="17"/>
        <v>390.24</v>
      </c>
      <c r="P211" s="44">
        <f t="shared" si="20"/>
        <v>1.2007384615384616E-3</v>
      </c>
    </row>
    <row r="212" spans="1:16" x14ac:dyDescent="0.25">
      <c r="A212">
        <v>350000</v>
      </c>
      <c r="B212">
        <v>5.44</v>
      </c>
      <c r="C212" s="36">
        <f t="shared" si="21"/>
        <v>30.736000000000001</v>
      </c>
      <c r="D212" s="36">
        <f t="shared" si="14"/>
        <v>368.83199999999999</v>
      </c>
      <c r="E212" s="33">
        <f t="shared" si="15"/>
        <v>1.0538057142857142E-3</v>
      </c>
      <c r="F212" s="31"/>
      <c r="G212"/>
      <c r="H212" s="41">
        <f t="shared" si="22"/>
        <v>218.16</v>
      </c>
      <c r="I212" s="32">
        <v>350000</v>
      </c>
      <c r="J212" s="44">
        <f t="shared" si="16"/>
        <v>6.233142857142857E-4</v>
      </c>
      <c r="L212" s="32">
        <v>350000</v>
      </c>
      <c r="M212">
        <v>13.55</v>
      </c>
      <c r="N212" s="36">
        <f t="shared" si="19"/>
        <v>32.520000000000003</v>
      </c>
      <c r="O212" s="36">
        <f t="shared" si="17"/>
        <v>390.24</v>
      </c>
      <c r="P212" s="44">
        <f t="shared" si="20"/>
        <v>1.1149714285714285E-3</v>
      </c>
    </row>
    <row r="213" spans="1:16" x14ac:dyDescent="0.25">
      <c r="A213">
        <v>375000</v>
      </c>
      <c r="B213">
        <v>5.44</v>
      </c>
      <c r="C213" s="36">
        <f t="shared" si="21"/>
        <v>30.736000000000001</v>
      </c>
      <c r="D213" s="36">
        <f t="shared" si="14"/>
        <v>368.83199999999999</v>
      </c>
      <c r="E213" s="33">
        <f t="shared" si="15"/>
        <v>9.8355199999999995E-4</v>
      </c>
      <c r="F213" s="31"/>
      <c r="G213"/>
      <c r="H213" s="41">
        <f t="shared" si="22"/>
        <v>218.16</v>
      </c>
      <c r="I213" s="32">
        <v>375000</v>
      </c>
      <c r="J213" s="44">
        <f t="shared" si="16"/>
        <v>5.8175999999999996E-4</v>
      </c>
      <c r="L213" s="32">
        <v>375000</v>
      </c>
      <c r="M213">
        <v>13.55</v>
      </c>
      <c r="N213" s="36">
        <f t="shared" si="19"/>
        <v>32.520000000000003</v>
      </c>
      <c r="O213" s="36">
        <f t="shared" si="17"/>
        <v>390.24</v>
      </c>
      <c r="P213" s="44">
        <f t="shared" si="20"/>
        <v>1.04064E-3</v>
      </c>
    </row>
    <row r="214" spans="1:16" x14ac:dyDescent="0.25">
      <c r="A214">
        <v>400000</v>
      </c>
      <c r="B214">
        <v>5.44</v>
      </c>
      <c r="C214" s="36">
        <f t="shared" si="21"/>
        <v>30.736000000000001</v>
      </c>
      <c r="D214" s="36">
        <f t="shared" si="14"/>
        <v>368.83199999999999</v>
      </c>
      <c r="E214" s="33">
        <f t="shared" si="15"/>
        <v>9.2208000000000004E-4</v>
      </c>
      <c r="F214" s="31"/>
      <c r="G214"/>
      <c r="H214" s="41">
        <f t="shared" si="22"/>
        <v>218.16</v>
      </c>
      <c r="I214" s="32">
        <v>400000</v>
      </c>
      <c r="J214" s="44">
        <f t="shared" si="16"/>
        <v>5.4540000000000003E-4</v>
      </c>
      <c r="L214" s="32">
        <v>400000</v>
      </c>
      <c r="M214">
        <v>13.55</v>
      </c>
      <c r="N214" s="36">
        <f t="shared" si="19"/>
        <v>32.520000000000003</v>
      </c>
      <c r="O214" s="36">
        <f t="shared" si="17"/>
        <v>390.24</v>
      </c>
      <c r="P214" s="44">
        <f t="shared" si="20"/>
        <v>9.7559999999999997E-4</v>
      </c>
    </row>
    <row r="215" spans="1:16" x14ac:dyDescent="0.25">
      <c r="A215">
        <v>425000</v>
      </c>
      <c r="B215">
        <v>5.44</v>
      </c>
      <c r="C215" s="36">
        <f t="shared" si="21"/>
        <v>30.736000000000001</v>
      </c>
      <c r="D215" s="36">
        <f t="shared" si="14"/>
        <v>368.83199999999999</v>
      </c>
      <c r="E215" s="33">
        <f t="shared" si="15"/>
        <v>8.6783999999999993E-4</v>
      </c>
      <c r="F215" s="31"/>
      <c r="G215"/>
      <c r="H215" s="41">
        <f t="shared" si="22"/>
        <v>218.16</v>
      </c>
      <c r="I215" s="32">
        <v>425000</v>
      </c>
      <c r="J215" s="44">
        <f t="shared" si="16"/>
        <v>5.1331764705882352E-4</v>
      </c>
      <c r="L215" s="32">
        <v>425000</v>
      </c>
      <c r="M215">
        <v>13.55</v>
      </c>
      <c r="N215" s="36">
        <f t="shared" si="19"/>
        <v>32.520000000000003</v>
      </c>
      <c r="O215" s="36">
        <f t="shared" si="17"/>
        <v>390.24</v>
      </c>
      <c r="P215" s="44">
        <f t="shared" si="20"/>
        <v>9.1821176470588232E-4</v>
      </c>
    </row>
    <row r="216" spans="1:16" x14ac:dyDescent="0.25">
      <c r="A216">
        <v>450000</v>
      </c>
      <c r="B216">
        <v>5.44</v>
      </c>
      <c r="C216" s="36">
        <f t="shared" si="21"/>
        <v>30.736000000000001</v>
      </c>
      <c r="D216" s="36">
        <f t="shared" si="14"/>
        <v>368.83199999999999</v>
      </c>
      <c r="E216" s="33">
        <f t="shared" si="15"/>
        <v>8.196266666666667E-4</v>
      </c>
      <c r="F216" s="31"/>
      <c r="G216"/>
      <c r="H216" s="41">
        <f t="shared" si="22"/>
        <v>218.16</v>
      </c>
      <c r="I216" s="32">
        <v>450000</v>
      </c>
      <c r="J216" s="44">
        <f t="shared" si="16"/>
        <v>4.8479999999999997E-4</v>
      </c>
      <c r="L216" s="32">
        <v>450000</v>
      </c>
      <c r="M216">
        <v>13.55</v>
      </c>
      <c r="N216" s="36">
        <f t="shared" si="19"/>
        <v>32.520000000000003</v>
      </c>
      <c r="O216" s="36">
        <f t="shared" si="17"/>
        <v>390.24</v>
      </c>
      <c r="P216" s="44">
        <f t="shared" si="20"/>
        <v>8.6720000000000005E-4</v>
      </c>
    </row>
    <row r="217" spans="1:16" x14ac:dyDescent="0.25">
      <c r="A217">
        <v>475000</v>
      </c>
      <c r="B217">
        <v>5.44</v>
      </c>
      <c r="C217" s="36">
        <f t="shared" si="21"/>
        <v>30.736000000000001</v>
      </c>
      <c r="D217" s="36">
        <f t="shared" si="14"/>
        <v>368.83199999999999</v>
      </c>
      <c r="E217" s="33">
        <f t="shared" si="15"/>
        <v>7.7648842105263155E-4</v>
      </c>
      <c r="F217" s="31"/>
      <c r="G217"/>
      <c r="H217" s="41">
        <f t="shared" si="22"/>
        <v>218.16</v>
      </c>
      <c r="I217" s="32">
        <v>475000</v>
      </c>
      <c r="J217" s="44">
        <f t="shared" si="16"/>
        <v>4.592842105263158E-4</v>
      </c>
      <c r="L217" s="32">
        <v>475000</v>
      </c>
      <c r="M217">
        <v>13.55</v>
      </c>
      <c r="N217" s="36">
        <f t="shared" si="19"/>
        <v>32.520000000000003</v>
      </c>
      <c r="O217" s="36">
        <f t="shared" si="17"/>
        <v>390.24</v>
      </c>
      <c r="P217" s="44">
        <f t="shared" si="20"/>
        <v>8.2155789473684212E-4</v>
      </c>
    </row>
    <row r="218" spans="1:16" x14ac:dyDescent="0.25">
      <c r="A218">
        <v>500000</v>
      </c>
      <c r="B218">
        <v>5.44</v>
      </c>
      <c r="C218" s="36">
        <f t="shared" si="21"/>
        <v>30.736000000000001</v>
      </c>
      <c r="D218" s="36">
        <f t="shared" si="14"/>
        <v>368.83199999999999</v>
      </c>
      <c r="E218" s="33">
        <f t="shared" si="15"/>
        <v>7.3766399999999996E-4</v>
      </c>
      <c r="F218" s="31"/>
      <c r="G218"/>
      <c r="H218" s="41">
        <f t="shared" si="22"/>
        <v>218.16</v>
      </c>
      <c r="I218" s="32">
        <v>500000</v>
      </c>
      <c r="J218" s="44">
        <f t="shared" si="16"/>
        <v>4.3631999999999997E-4</v>
      </c>
      <c r="L218" s="32">
        <v>500000</v>
      </c>
      <c r="M218">
        <v>13.55</v>
      </c>
      <c r="N218" s="36">
        <f t="shared" si="19"/>
        <v>32.520000000000003</v>
      </c>
      <c r="O218" s="36">
        <f t="shared" si="17"/>
        <v>390.24</v>
      </c>
      <c r="P218" s="44">
        <f t="shared" si="20"/>
        <v>7.8048000000000006E-4</v>
      </c>
    </row>
    <row r="220" spans="1:16" x14ac:dyDescent="0.25">
      <c r="A220" s="40" t="s">
        <v>70</v>
      </c>
    </row>
    <row r="222" spans="1:16" x14ac:dyDescent="0.25">
      <c r="B222" t="s">
        <v>71</v>
      </c>
      <c r="C222" s="106">
        <v>7.94</v>
      </c>
    </row>
    <row r="223" spans="1:16" x14ac:dyDescent="0.25">
      <c r="B223" t="s">
        <v>72</v>
      </c>
      <c r="C223" s="106">
        <v>2.67</v>
      </c>
    </row>
    <row r="224" spans="1:16" ht="13" thickBot="1" x14ac:dyDescent="0.3">
      <c r="B224" t="s">
        <v>73</v>
      </c>
      <c r="C224" s="107">
        <f>SUM(C222:C223)</f>
        <v>10.61</v>
      </c>
    </row>
    <row r="225" spans="1:3" ht="13" thickTop="1" x14ac:dyDescent="0.25"/>
    <row r="226" spans="1:3" x14ac:dyDescent="0.25">
      <c r="C226" s="84"/>
    </row>
    <row r="227" spans="1:3" x14ac:dyDescent="0.25">
      <c r="B227" t="s">
        <v>74</v>
      </c>
      <c r="C227" s="59">
        <f>C224*12</f>
        <v>127.32</v>
      </c>
    </row>
    <row r="228" spans="1:3" x14ac:dyDescent="0.25">
      <c r="B228" t="s">
        <v>16</v>
      </c>
    </row>
    <row r="229" spans="1:3" x14ac:dyDescent="0.25">
      <c r="A229">
        <v>10000</v>
      </c>
      <c r="B229" s="93">
        <f>$C$227</f>
        <v>127.32</v>
      </c>
      <c r="C229" s="37">
        <f>B229/A229</f>
        <v>1.2731999999999999E-2</v>
      </c>
    </row>
    <row r="230" spans="1:3" x14ac:dyDescent="0.25">
      <c r="A230">
        <v>20000</v>
      </c>
      <c r="B230" s="93">
        <f t="shared" ref="B230:B260" si="23">$C$227</f>
        <v>127.32</v>
      </c>
      <c r="C230" s="37">
        <f t="shared" ref="C230:C260" si="24">B230/A230</f>
        <v>6.3659999999999993E-3</v>
      </c>
    </row>
    <row r="231" spans="1:3" x14ac:dyDescent="0.25">
      <c r="A231">
        <v>30000</v>
      </c>
      <c r="B231" s="93">
        <f t="shared" si="23"/>
        <v>127.32</v>
      </c>
      <c r="C231" s="37">
        <f t="shared" si="24"/>
        <v>4.2439999999999995E-3</v>
      </c>
    </row>
    <row r="232" spans="1:3" x14ac:dyDescent="0.25">
      <c r="A232">
        <v>40000</v>
      </c>
      <c r="B232" s="93">
        <f t="shared" si="23"/>
        <v>127.32</v>
      </c>
      <c r="C232" s="37">
        <f t="shared" si="24"/>
        <v>3.1829999999999996E-3</v>
      </c>
    </row>
    <row r="233" spans="1:3" x14ac:dyDescent="0.25">
      <c r="A233">
        <v>50000</v>
      </c>
      <c r="B233" s="93">
        <f t="shared" si="23"/>
        <v>127.32</v>
      </c>
      <c r="C233" s="37">
        <f t="shared" si="24"/>
        <v>2.5463999999999999E-3</v>
      </c>
    </row>
    <row r="234" spans="1:3" x14ac:dyDescent="0.25">
      <c r="A234">
        <v>60000</v>
      </c>
      <c r="B234" s="93">
        <f t="shared" si="23"/>
        <v>127.32</v>
      </c>
      <c r="C234" s="37">
        <f t="shared" si="24"/>
        <v>2.1219999999999998E-3</v>
      </c>
    </row>
    <row r="235" spans="1:3" x14ac:dyDescent="0.25">
      <c r="A235">
        <v>70000</v>
      </c>
      <c r="B235" s="93">
        <f t="shared" si="23"/>
        <v>127.32</v>
      </c>
      <c r="C235" s="37">
        <f t="shared" si="24"/>
        <v>1.8188571428571427E-3</v>
      </c>
    </row>
    <row r="236" spans="1:3" x14ac:dyDescent="0.25">
      <c r="A236">
        <v>80000</v>
      </c>
      <c r="B236" s="93">
        <f t="shared" si="23"/>
        <v>127.32</v>
      </c>
      <c r="C236" s="37">
        <f t="shared" si="24"/>
        <v>1.5914999999999998E-3</v>
      </c>
    </row>
    <row r="237" spans="1:3" x14ac:dyDescent="0.25">
      <c r="A237">
        <v>90000</v>
      </c>
      <c r="B237" s="93">
        <f t="shared" si="23"/>
        <v>127.32</v>
      </c>
      <c r="C237" s="37">
        <f t="shared" si="24"/>
        <v>1.4146666666666665E-3</v>
      </c>
    </row>
    <row r="238" spans="1:3" x14ac:dyDescent="0.25">
      <c r="A238">
        <v>100000</v>
      </c>
      <c r="B238" s="93">
        <f t="shared" si="23"/>
        <v>127.32</v>
      </c>
      <c r="C238" s="37">
        <f t="shared" si="24"/>
        <v>1.2731999999999999E-3</v>
      </c>
    </row>
    <row r="239" spans="1:3" x14ac:dyDescent="0.25">
      <c r="A239">
        <v>110000</v>
      </c>
      <c r="B239" s="93">
        <f t="shared" si="23"/>
        <v>127.32</v>
      </c>
      <c r="C239" s="37">
        <f t="shared" si="24"/>
        <v>1.1574545454545455E-3</v>
      </c>
    </row>
    <row r="240" spans="1:3" x14ac:dyDescent="0.25">
      <c r="A240">
        <v>120000</v>
      </c>
      <c r="B240" s="93">
        <f t="shared" si="23"/>
        <v>127.32</v>
      </c>
      <c r="C240" s="37">
        <f t="shared" si="24"/>
        <v>1.0609999999999999E-3</v>
      </c>
    </row>
    <row r="241" spans="1:3" x14ac:dyDescent="0.25">
      <c r="A241">
        <v>130000</v>
      </c>
      <c r="B241" s="93">
        <f t="shared" si="23"/>
        <v>127.32</v>
      </c>
      <c r="C241" s="37">
        <f t="shared" si="24"/>
        <v>9.7938461538461525E-4</v>
      </c>
    </row>
    <row r="242" spans="1:3" x14ac:dyDescent="0.25">
      <c r="A242">
        <v>140000</v>
      </c>
      <c r="B242" s="93">
        <f t="shared" si="23"/>
        <v>127.32</v>
      </c>
      <c r="C242" s="37">
        <f t="shared" si="24"/>
        <v>9.0942857142857134E-4</v>
      </c>
    </row>
    <row r="243" spans="1:3" x14ac:dyDescent="0.25">
      <c r="A243">
        <v>150000</v>
      </c>
      <c r="B243" s="93">
        <f t="shared" si="23"/>
        <v>127.32</v>
      </c>
      <c r="C243" s="37">
        <f t="shared" si="24"/>
        <v>8.4879999999999992E-4</v>
      </c>
    </row>
    <row r="244" spans="1:3" x14ac:dyDescent="0.25">
      <c r="A244">
        <v>160000</v>
      </c>
      <c r="B244" s="93">
        <f t="shared" si="23"/>
        <v>127.32</v>
      </c>
      <c r="C244" s="37">
        <f t="shared" si="24"/>
        <v>7.9574999999999991E-4</v>
      </c>
    </row>
    <row r="245" spans="1:3" x14ac:dyDescent="0.25">
      <c r="A245">
        <v>170000</v>
      </c>
      <c r="B245" s="93">
        <f t="shared" si="23"/>
        <v>127.32</v>
      </c>
      <c r="C245" s="37">
        <f t="shared" si="24"/>
        <v>7.4894117647058818E-4</v>
      </c>
    </row>
    <row r="246" spans="1:3" x14ac:dyDescent="0.25">
      <c r="A246">
        <v>180000</v>
      </c>
      <c r="B246" s="93">
        <f t="shared" si="23"/>
        <v>127.32</v>
      </c>
      <c r="C246" s="37">
        <f t="shared" si="24"/>
        <v>7.0733333333333325E-4</v>
      </c>
    </row>
    <row r="247" spans="1:3" x14ac:dyDescent="0.25">
      <c r="A247">
        <v>190000</v>
      </c>
      <c r="B247" s="93">
        <f t="shared" si="23"/>
        <v>127.32</v>
      </c>
      <c r="C247" s="37">
        <f t="shared" si="24"/>
        <v>6.7010526315789472E-4</v>
      </c>
    </row>
    <row r="248" spans="1:3" x14ac:dyDescent="0.25">
      <c r="A248">
        <v>200000</v>
      </c>
      <c r="B248" s="93">
        <f t="shared" si="23"/>
        <v>127.32</v>
      </c>
      <c r="C248" s="37">
        <f t="shared" si="24"/>
        <v>6.3659999999999997E-4</v>
      </c>
    </row>
    <row r="249" spans="1:3" x14ac:dyDescent="0.25">
      <c r="A249">
        <v>225000</v>
      </c>
      <c r="B249" s="93">
        <f t="shared" si="23"/>
        <v>127.32</v>
      </c>
      <c r="C249" s="37">
        <f t="shared" si="24"/>
        <v>5.6586666666666669E-4</v>
      </c>
    </row>
    <row r="250" spans="1:3" x14ac:dyDescent="0.25">
      <c r="A250">
        <v>250000</v>
      </c>
      <c r="B250" s="93">
        <f t="shared" si="23"/>
        <v>127.32</v>
      </c>
      <c r="C250" s="37">
        <f t="shared" si="24"/>
        <v>5.0927999999999998E-4</v>
      </c>
    </row>
    <row r="251" spans="1:3" x14ac:dyDescent="0.25">
      <c r="A251">
        <v>275000</v>
      </c>
      <c r="B251" s="93">
        <f t="shared" si="23"/>
        <v>127.32</v>
      </c>
      <c r="C251" s="37">
        <f t="shared" si="24"/>
        <v>4.6298181818181815E-4</v>
      </c>
    </row>
    <row r="252" spans="1:3" x14ac:dyDescent="0.25">
      <c r="A252">
        <v>300000</v>
      </c>
      <c r="B252" s="93">
        <f t="shared" si="23"/>
        <v>127.32</v>
      </c>
      <c r="C252" s="37">
        <f t="shared" si="24"/>
        <v>4.2439999999999996E-4</v>
      </c>
    </row>
    <row r="253" spans="1:3" x14ac:dyDescent="0.25">
      <c r="A253">
        <v>325000</v>
      </c>
      <c r="B253" s="93">
        <f t="shared" si="23"/>
        <v>127.32</v>
      </c>
      <c r="C253" s="37">
        <f t="shared" si="24"/>
        <v>3.9175384615384616E-4</v>
      </c>
    </row>
    <row r="254" spans="1:3" x14ac:dyDescent="0.25">
      <c r="A254">
        <v>350000</v>
      </c>
      <c r="B254" s="93">
        <f t="shared" si="23"/>
        <v>127.32</v>
      </c>
      <c r="C254" s="37">
        <f t="shared" si="24"/>
        <v>3.6377142857142855E-4</v>
      </c>
    </row>
    <row r="255" spans="1:3" x14ac:dyDescent="0.25">
      <c r="A255">
        <v>375000</v>
      </c>
      <c r="B255" s="93">
        <f t="shared" si="23"/>
        <v>127.32</v>
      </c>
      <c r="C255" s="37">
        <f t="shared" si="24"/>
        <v>3.3952E-4</v>
      </c>
    </row>
    <row r="256" spans="1:3" x14ac:dyDescent="0.25">
      <c r="A256">
        <v>400000</v>
      </c>
      <c r="B256" s="93">
        <f t="shared" si="23"/>
        <v>127.32</v>
      </c>
      <c r="C256" s="37">
        <f t="shared" si="24"/>
        <v>3.1829999999999998E-4</v>
      </c>
    </row>
    <row r="257" spans="1:10" x14ac:dyDescent="0.25">
      <c r="A257">
        <v>425000</v>
      </c>
      <c r="B257" s="93">
        <f t="shared" si="23"/>
        <v>127.32</v>
      </c>
      <c r="C257" s="37">
        <f t="shared" si="24"/>
        <v>2.9957647058823528E-4</v>
      </c>
    </row>
    <row r="258" spans="1:10" x14ac:dyDescent="0.25">
      <c r="A258">
        <v>450000</v>
      </c>
      <c r="B258" s="93">
        <f t="shared" si="23"/>
        <v>127.32</v>
      </c>
      <c r="C258" s="37">
        <f t="shared" si="24"/>
        <v>2.8293333333333334E-4</v>
      </c>
    </row>
    <row r="259" spans="1:10" x14ac:dyDescent="0.25">
      <c r="A259">
        <v>475000</v>
      </c>
      <c r="B259" s="93">
        <f t="shared" si="23"/>
        <v>127.32</v>
      </c>
      <c r="C259" s="37">
        <f t="shared" si="24"/>
        <v>2.6804210526315786E-4</v>
      </c>
    </row>
    <row r="260" spans="1:10" x14ac:dyDescent="0.25">
      <c r="A260">
        <v>500000</v>
      </c>
      <c r="B260" s="93">
        <f t="shared" si="23"/>
        <v>127.32</v>
      </c>
      <c r="C260" s="37">
        <f t="shared" si="24"/>
        <v>2.5463999999999999E-4</v>
      </c>
    </row>
    <row r="263" spans="1:10" x14ac:dyDescent="0.25">
      <c r="A263" s="40" t="s">
        <v>30</v>
      </c>
      <c r="B263" s="31">
        <v>1.95E-2</v>
      </c>
    </row>
    <row r="265" spans="1:10" x14ac:dyDescent="0.25">
      <c r="A265" s="45"/>
      <c r="B265" s="45"/>
      <c r="C265" s="38"/>
      <c r="D265" s="45"/>
      <c r="E265" s="45"/>
    </row>
    <row r="266" spans="1:10" x14ac:dyDescent="0.25">
      <c r="A266" s="45"/>
      <c r="B266" s="45"/>
      <c r="C266" s="38"/>
      <c r="D266" s="79"/>
      <c r="E266" s="45"/>
      <c r="G266" s="46" t="s">
        <v>10</v>
      </c>
      <c r="H266" s="31"/>
      <c r="J266" s="51"/>
    </row>
    <row r="267" spans="1:10" x14ac:dyDescent="0.25">
      <c r="A267" s="80"/>
      <c r="B267" s="80"/>
      <c r="C267" s="38"/>
      <c r="D267" s="79"/>
      <c r="E267" s="45"/>
      <c r="G267" s="46"/>
      <c r="H267" s="31"/>
      <c r="J267" s="51"/>
    </row>
    <row r="268" spans="1:10" x14ac:dyDescent="0.25">
      <c r="A268" s="45"/>
      <c r="B268" s="45"/>
      <c r="C268" s="38"/>
      <c r="D268" s="79"/>
      <c r="E268" s="45"/>
      <c r="G268" s="46"/>
      <c r="H268" s="31"/>
      <c r="J268" s="51"/>
    </row>
    <row r="269" spans="1:10" x14ac:dyDescent="0.25">
      <c r="A269" s="80"/>
      <c r="B269" s="80"/>
      <c r="C269" s="38"/>
      <c r="D269" s="79"/>
      <c r="E269" s="45"/>
      <c r="G269" s="46"/>
      <c r="H269" s="31"/>
      <c r="J269" s="51"/>
    </row>
    <row r="270" spans="1:10" x14ac:dyDescent="0.25">
      <c r="A270" s="45"/>
      <c r="B270" s="79"/>
      <c r="C270" s="38"/>
      <c r="D270" s="79"/>
      <c r="E270" s="45"/>
      <c r="G270" s="46"/>
      <c r="H270" s="31"/>
      <c r="J270" s="51"/>
    </row>
    <row r="271" spans="1:10" x14ac:dyDescent="0.25">
      <c r="A271" s="45"/>
      <c r="B271" s="79"/>
      <c r="C271" s="38"/>
      <c r="D271" s="79"/>
      <c r="E271" s="45"/>
      <c r="G271" s="46"/>
      <c r="H271" s="31"/>
      <c r="J271" s="51"/>
    </row>
    <row r="272" spans="1:10" x14ac:dyDescent="0.25">
      <c r="A272" s="45"/>
      <c r="B272" s="79"/>
      <c r="C272" s="38"/>
      <c r="D272" s="79"/>
      <c r="E272" s="45"/>
      <c r="G272" s="46"/>
      <c r="H272" s="31"/>
      <c r="J272" s="51"/>
    </row>
    <row r="273" spans="1:10" x14ac:dyDescent="0.25">
      <c r="A273" s="45"/>
      <c r="B273" s="79"/>
      <c r="C273" s="38"/>
      <c r="D273" s="79"/>
      <c r="E273" s="45"/>
      <c r="G273" s="46"/>
      <c r="H273" s="31"/>
      <c r="J273" s="51"/>
    </row>
    <row r="274" spans="1:10" x14ac:dyDescent="0.25">
      <c r="A274" s="45"/>
      <c r="B274" s="79"/>
      <c r="C274" s="38"/>
      <c r="D274" s="79"/>
      <c r="E274" s="45"/>
      <c r="G274" s="46"/>
      <c r="H274" s="31"/>
      <c r="J274" s="51"/>
    </row>
    <row r="275" spans="1:10" x14ac:dyDescent="0.25">
      <c r="A275" s="45"/>
      <c r="B275" s="79"/>
      <c r="C275" s="38"/>
      <c r="D275" s="79"/>
      <c r="E275" s="45"/>
      <c r="G275" s="46"/>
      <c r="H275" s="31"/>
      <c r="J275" s="51"/>
    </row>
    <row r="276" spans="1:10" x14ac:dyDescent="0.25">
      <c r="A276" s="45"/>
      <c r="B276" s="79"/>
      <c r="C276" s="38"/>
      <c r="D276" s="79"/>
      <c r="E276" s="45"/>
      <c r="G276" s="46"/>
      <c r="H276" s="31"/>
      <c r="J276" s="51"/>
    </row>
    <row r="277" spans="1:10" x14ac:dyDescent="0.25">
      <c r="A277" s="45"/>
      <c r="B277" s="79"/>
      <c r="C277" s="38"/>
      <c r="D277" s="79"/>
      <c r="E277" s="45"/>
      <c r="G277" s="46"/>
      <c r="H277" s="31"/>
      <c r="J277" s="51"/>
    </row>
    <row r="278" spans="1:10" x14ac:dyDescent="0.25">
      <c r="A278" s="45"/>
      <c r="B278" s="79"/>
      <c r="C278" s="38"/>
      <c r="D278" s="79"/>
      <c r="E278" s="45"/>
      <c r="G278" s="46"/>
      <c r="H278" s="31"/>
      <c r="J278" s="51"/>
    </row>
    <row r="279" spans="1:10" x14ac:dyDescent="0.25">
      <c r="A279" s="45"/>
      <c r="B279" s="79"/>
      <c r="C279" s="38"/>
      <c r="D279" s="79"/>
      <c r="E279" s="45"/>
      <c r="G279" s="46"/>
      <c r="H279" s="31"/>
      <c r="J279" s="51"/>
    </row>
    <row r="280" spans="1:10" x14ac:dyDescent="0.25">
      <c r="A280" s="45"/>
      <c r="B280" s="79"/>
      <c r="C280" s="38"/>
      <c r="D280" s="79"/>
      <c r="E280" s="45"/>
      <c r="G280" s="46"/>
      <c r="H280" s="31"/>
      <c r="J280" s="51"/>
    </row>
    <row r="281" spans="1:10" x14ac:dyDescent="0.25">
      <c r="A281" s="45"/>
      <c r="B281" s="79"/>
      <c r="C281" s="38"/>
      <c r="D281" s="45"/>
      <c r="E281" s="45"/>
    </row>
    <row r="282" spans="1:10" x14ac:dyDescent="0.25">
      <c r="A282" s="45"/>
      <c r="B282" s="79"/>
      <c r="C282" s="38"/>
      <c r="D282" s="45"/>
      <c r="E282" s="45"/>
    </row>
    <row r="283" spans="1:10" x14ac:dyDescent="0.25">
      <c r="A283" s="45"/>
      <c r="B283" s="79"/>
      <c r="C283" s="38"/>
      <c r="D283" s="45"/>
      <c r="E283" s="45"/>
    </row>
    <row r="284" spans="1:10" x14ac:dyDescent="0.25">
      <c r="A284" s="45"/>
      <c r="B284" s="79"/>
      <c r="C284" s="38"/>
      <c r="D284" s="45"/>
      <c r="E284" s="45"/>
    </row>
    <row r="285" spans="1:10" x14ac:dyDescent="0.25">
      <c r="A285" s="45"/>
      <c r="B285" s="79"/>
      <c r="C285" s="38"/>
      <c r="D285" s="45"/>
      <c r="E285" s="45"/>
    </row>
    <row r="286" spans="1:10" x14ac:dyDescent="0.25">
      <c r="A286" s="45"/>
      <c r="B286" s="79"/>
      <c r="C286" s="38"/>
      <c r="D286" s="45"/>
      <c r="E286" s="45"/>
    </row>
    <row r="287" spans="1:10" x14ac:dyDescent="0.25">
      <c r="A287" s="45"/>
      <c r="B287" s="79"/>
      <c r="C287" s="38"/>
      <c r="D287" s="45"/>
      <c r="E287" s="45"/>
    </row>
    <row r="288" spans="1:10" x14ac:dyDescent="0.25">
      <c r="A288" s="45"/>
      <c r="B288" s="79"/>
      <c r="C288" s="38"/>
      <c r="D288" s="45"/>
      <c r="E288" s="45"/>
    </row>
    <row r="289" spans="1:5" x14ac:dyDescent="0.25">
      <c r="A289" s="45"/>
      <c r="B289" s="79"/>
      <c r="C289" s="38"/>
      <c r="D289" s="45"/>
      <c r="E289" s="45"/>
    </row>
    <row r="290" spans="1:5" x14ac:dyDescent="0.25">
      <c r="A290" s="45"/>
      <c r="B290" s="79"/>
      <c r="C290" s="38"/>
      <c r="D290" s="45"/>
      <c r="E290" s="45"/>
    </row>
    <row r="291" spans="1:5" x14ac:dyDescent="0.25">
      <c r="A291" s="45"/>
      <c r="B291" s="79"/>
      <c r="C291" s="38"/>
      <c r="D291" s="45"/>
      <c r="E291" s="45"/>
    </row>
  </sheetData>
  <phoneticPr fontId="0" type="noConversion"/>
  <pageMargins left="0.25" right="0.25" top="1" bottom="1" header="0.5" footer="0.5"/>
  <pageSetup paperSize="5" scale="64" fitToHeight="4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5"/>
  <sheetViews>
    <sheetView topLeftCell="A39" workbookViewId="0">
      <selection activeCell="D56" sqref="D56"/>
    </sheetView>
  </sheetViews>
  <sheetFormatPr defaultRowHeight="12.5" x14ac:dyDescent="0.25"/>
  <cols>
    <col min="2" max="2" width="10.7265625" customWidth="1"/>
    <col min="3" max="3" width="15" bestFit="1" customWidth="1"/>
    <col min="4" max="4" width="19.7265625" customWidth="1"/>
    <col min="5" max="5" width="23.453125" customWidth="1"/>
    <col min="6" max="6" width="24" customWidth="1"/>
  </cols>
  <sheetData>
    <row r="1" spans="1:6" ht="13" x14ac:dyDescent="0.3">
      <c r="A1" s="90" t="s">
        <v>79</v>
      </c>
    </row>
    <row r="2" spans="1:6" x14ac:dyDescent="0.25">
      <c r="B2" s="86" t="s">
        <v>80</v>
      </c>
      <c r="C2">
        <v>2022</v>
      </c>
      <c r="D2" t="s">
        <v>65</v>
      </c>
      <c r="E2">
        <v>2023</v>
      </c>
      <c r="F2" t="s">
        <v>65</v>
      </c>
    </row>
    <row r="3" spans="1:6" x14ac:dyDescent="0.25">
      <c r="B3" t="s">
        <v>64</v>
      </c>
      <c r="C3" s="86" t="s">
        <v>61</v>
      </c>
      <c r="D3" s="86" t="s">
        <v>62</v>
      </c>
      <c r="E3" s="86" t="s">
        <v>63</v>
      </c>
      <c r="F3" s="86" t="s">
        <v>62</v>
      </c>
    </row>
    <row r="4" spans="1:6" x14ac:dyDescent="0.25">
      <c r="A4" t="s">
        <v>57</v>
      </c>
      <c r="B4" s="82">
        <v>20778</v>
      </c>
      <c r="C4">
        <v>608</v>
      </c>
      <c r="D4">
        <v>589</v>
      </c>
      <c r="E4">
        <v>668</v>
      </c>
      <c r="F4">
        <v>646</v>
      </c>
    </row>
    <row r="5" spans="1:6" x14ac:dyDescent="0.25">
      <c r="A5" t="s">
        <v>58</v>
      </c>
      <c r="B5" s="82">
        <v>6113</v>
      </c>
      <c r="C5">
        <v>1040</v>
      </c>
      <c r="D5">
        <v>962</v>
      </c>
      <c r="E5">
        <v>1142</v>
      </c>
      <c r="F5">
        <v>1055</v>
      </c>
    </row>
    <row r="6" spans="1:6" x14ac:dyDescent="0.25">
      <c r="A6" t="s">
        <v>59</v>
      </c>
      <c r="B6" s="82">
        <v>10595</v>
      </c>
      <c r="C6">
        <v>1412</v>
      </c>
      <c r="D6">
        <v>1310</v>
      </c>
      <c r="E6">
        <v>1551</v>
      </c>
      <c r="F6">
        <v>1437</v>
      </c>
    </row>
    <row r="7" spans="1:6" x14ac:dyDescent="0.25">
      <c r="A7" t="s">
        <v>60</v>
      </c>
      <c r="B7" s="87">
        <v>7029</v>
      </c>
      <c r="C7">
        <v>981</v>
      </c>
      <c r="D7">
        <v>937</v>
      </c>
      <c r="E7">
        <v>1078</v>
      </c>
      <c r="F7">
        <v>1028</v>
      </c>
    </row>
    <row r="8" spans="1:6" x14ac:dyDescent="0.25">
      <c r="B8" s="82">
        <f>SUM(B4:B7)</f>
        <v>44515</v>
      </c>
    </row>
    <row r="10" spans="1:6" x14ac:dyDescent="0.25">
      <c r="A10" t="s">
        <v>66</v>
      </c>
      <c r="C10" s="46">
        <f>($B$4*C4)+($B$5*C5)+($B$6*C6)+($B$7*C7)</f>
        <v>40846133</v>
      </c>
      <c r="D10" s="46">
        <f>($B$4*D4)+($B$5*D5)+($B$6*D6)+($B$7*D7)</f>
        <v>38584571</v>
      </c>
      <c r="E10" s="46">
        <f>($B$4*E4)+($B$5*E5)+($B$6*E6)+($B$7*E7)</f>
        <v>44870857</v>
      </c>
      <c r="F10" s="46">
        <f>($B$4*F4)+($B$5*F5)+($B$6*F6)+($B$7*F7)</f>
        <v>42322630</v>
      </c>
    </row>
    <row r="11" spans="1:6" x14ac:dyDescent="0.25">
      <c r="E11" s="136" t="s">
        <v>87</v>
      </c>
      <c r="F11" s="137"/>
    </row>
    <row r="12" spans="1:6" x14ac:dyDescent="0.25">
      <c r="A12" t="s">
        <v>67</v>
      </c>
      <c r="C12" s="89">
        <f>(C10*6)+(E10*6)</f>
        <v>514301940</v>
      </c>
      <c r="D12" s="89">
        <f>(D10*6)+(F10*6)</f>
        <v>485443206</v>
      </c>
      <c r="E12" s="89">
        <f>E10*12</f>
        <v>538450284</v>
      </c>
      <c r="F12" s="89">
        <f>F10*12</f>
        <v>507871560</v>
      </c>
    </row>
    <row r="14" spans="1:6" x14ac:dyDescent="0.25">
      <c r="A14" t="s">
        <v>68</v>
      </c>
      <c r="C14" s="104">
        <f>C12/B8</f>
        <v>11553.452544086264</v>
      </c>
      <c r="D14" s="104">
        <f>D12/B8</f>
        <v>10905.160193193306</v>
      </c>
      <c r="E14" s="104">
        <f>E12/B8</f>
        <v>12095.929102549702</v>
      </c>
      <c r="F14" s="89"/>
    </row>
    <row r="16" spans="1:6" x14ac:dyDescent="0.25">
      <c r="A16" t="s">
        <v>69</v>
      </c>
      <c r="C16" s="121">
        <f>C14*0.8</f>
        <v>9242.7620352690119</v>
      </c>
      <c r="E16" s="121">
        <f>E14*0.8</f>
        <v>9676.7432820397626</v>
      </c>
    </row>
    <row r="23" spans="1:7" x14ac:dyDescent="0.25">
      <c r="A23" t="s">
        <v>43</v>
      </c>
    </row>
    <row r="25" spans="1:7" x14ac:dyDescent="0.25">
      <c r="A25" s="103" t="s">
        <v>96</v>
      </c>
      <c r="D25" s="100" t="s">
        <v>91</v>
      </c>
      <c r="F25" s="82">
        <f>28420000/12</f>
        <v>2368333.3333333335</v>
      </c>
    </row>
    <row r="26" spans="1:7" x14ac:dyDescent="0.25">
      <c r="F26" s="82"/>
    </row>
    <row r="27" spans="1:7" x14ac:dyDescent="0.25">
      <c r="A27" s="100" t="s">
        <v>97</v>
      </c>
      <c r="D27" s="100" t="s">
        <v>98</v>
      </c>
      <c r="F27" s="82">
        <f>31260000/12</f>
        <v>2605000</v>
      </c>
      <c r="G27" s="33">
        <f>(F27-F25)/F25</f>
        <v>9.9929627023223014E-2</v>
      </c>
    </row>
    <row r="30" spans="1:7" x14ac:dyDescent="0.25">
      <c r="A30" s="100" t="s">
        <v>99</v>
      </c>
      <c r="F30" s="82">
        <v>6509</v>
      </c>
    </row>
    <row r="33" spans="1:6" ht="13" x14ac:dyDescent="0.3">
      <c r="A33" s="90" t="s">
        <v>34</v>
      </c>
    </row>
    <row r="35" spans="1:6" x14ac:dyDescent="0.25">
      <c r="D35" s="46" t="s">
        <v>31</v>
      </c>
      <c r="E35" s="46" t="s">
        <v>32</v>
      </c>
      <c r="F35" s="46" t="s">
        <v>33</v>
      </c>
    </row>
    <row r="36" spans="1:6" x14ac:dyDescent="0.25">
      <c r="A36" t="s">
        <v>100</v>
      </c>
      <c r="D36" s="86" t="s">
        <v>37</v>
      </c>
      <c r="E36" t="s">
        <v>21</v>
      </c>
      <c r="F36" s="82"/>
    </row>
    <row r="37" spans="1:6" x14ac:dyDescent="0.25">
      <c r="F37" s="82"/>
    </row>
    <row r="38" spans="1:6" x14ac:dyDescent="0.25">
      <c r="D38" s="91">
        <v>44562</v>
      </c>
      <c r="E38" s="86"/>
    </row>
    <row r="39" spans="1:6" x14ac:dyDescent="0.25">
      <c r="D39" s="86" t="s">
        <v>81</v>
      </c>
      <c r="E39" s="86" t="s">
        <v>35</v>
      </c>
    </row>
    <row r="40" spans="1:6" x14ac:dyDescent="0.25">
      <c r="D40" s="82">
        <v>32973</v>
      </c>
      <c r="E40" s="41">
        <v>21.34</v>
      </c>
      <c r="F40" s="82">
        <f>D40*E40</f>
        <v>703643.82</v>
      </c>
    </row>
    <row r="41" spans="1:6" x14ac:dyDescent="0.25">
      <c r="D41" s="82">
        <v>15143</v>
      </c>
      <c r="E41" s="41">
        <v>42.68</v>
      </c>
      <c r="F41" s="82">
        <f>D41*E41</f>
        <v>646303.24</v>
      </c>
    </row>
    <row r="42" spans="1:6" x14ac:dyDescent="0.25">
      <c r="D42" s="87">
        <v>15490</v>
      </c>
      <c r="E42" s="41">
        <v>68.08</v>
      </c>
      <c r="F42" s="87">
        <f>D42*E42</f>
        <v>1054559.2</v>
      </c>
    </row>
    <row r="43" spans="1:6" x14ac:dyDescent="0.25">
      <c r="D43" s="88">
        <f>SUM(D40:D42)</f>
        <v>63606</v>
      </c>
      <c r="F43" s="88">
        <f>SUM(F40:F42)</f>
        <v>2404506.2599999998</v>
      </c>
    </row>
    <row r="44" spans="1:6" x14ac:dyDescent="0.25">
      <c r="D44" s="88"/>
      <c r="F44" s="88"/>
    </row>
    <row r="45" spans="1:6" x14ac:dyDescent="0.25">
      <c r="D45" s="91">
        <v>44562</v>
      </c>
      <c r="E45" s="86"/>
    </row>
    <row r="46" spans="1:6" x14ac:dyDescent="0.25">
      <c r="A46" t="s">
        <v>101</v>
      </c>
      <c r="D46" s="86" t="s">
        <v>81</v>
      </c>
      <c r="E46" s="86" t="s">
        <v>35</v>
      </c>
    </row>
    <row r="47" spans="1:6" x14ac:dyDescent="0.25">
      <c r="D47" s="82">
        <v>32973</v>
      </c>
      <c r="E47" s="41">
        <v>22.12</v>
      </c>
      <c r="F47" s="82">
        <f>D47*E47</f>
        <v>729362.76</v>
      </c>
    </row>
    <row r="48" spans="1:6" x14ac:dyDescent="0.25">
      <c r="D48" s="82">
        <v>15143</v>
      </c>
      <c r="E48" s="41">
        <v>44.24</v>
      </c>
      <c r="F48" s="82">
        <f>D48*E48</f>
        <v>669926.32000000007</v>
      </c>
    </row>
    <row r="49" spans="4:7" x14ac:dyDescent="0.25">
      <c r="D49" s="87">
        <v>15490</v>
      </c>
      <c r="E49" s="41">
        <v>70.58</v>
      </c>
      <c r="F49" s="87">
        <f>D49*E49</f>
        <v>1093284.2</v>
      </c>
    </row>
    <row r="50" spans="4:7" x14ac:dyDescent="0.25">
      <c r="D50" s="88">
        <f>SUM(D47:D49)</f>
        <v>63606</v>
      </c>
      <c r="F50" s="88">
        <f>SUM(F47:F49)</f>
        <v>2492573.2800000003</v>
      </c>
      <c r="G50" s="33">
        <f>(F50-F43)/F43</f>
        <v>3.662582271671877E-2</v>
      </c>
    </row>
    <row r="53" spans="4:7" x14ac:dyDescent="0.25">
      <c r="E53" t="s">
        <v>92</v>
      </c>
      <c r="F53" s="89">
        <f>6*F43</f>
        <v>14427037.559999999</v>
      </c>
    </row>
    <row r="54" spans="4:7" x14ac:dyDescent="0.25">
      <c r="E54" t="s">
        <v>102</v>
      </c>
      <c r="F54" s="92">
        <f>6*F50</f>
        <v>14955439.680000002</v>
      </c>
    </row>
    <row r="55" spans="4:7" x14ac:dyDescent="0.25">
      <c r="F55" s="89">
        <f>SUM(F53:F54)</f>
        <v>29382477.240000002</v>
      </c>
    </row>
  </sheetData>
  <mergeCells count="1">
    <mergeCell ref="E11:F11"/>
  </mergeCells>
  <phoneticPr fontId="0" type="noConversion"/>
  <pageMargins left="0.75" right="0.75" top="1" bottom="1" header="0.5" footer="0.5"/>
  <pageSetup scale="81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Salaries Bet 10K - 200K</vt:lpstr>
      <vt:lpstr>Salaries &gt; $200K</vt:lpstr>
      <vt:lpstr>Calcul</vt:lpstr>
      <vt:lpstr>Medical &amp; Dental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Payroll - Benefits</dc:creator>
  <cp:lastModifiedBy>Watson, Brian</cp:lastModifiedBy>
  <cp:lastPrinted>2021-06-09T15:10:23Z</cp:lastPrinted>
  <dcterms:created xsi:type="dcterms:W3CDTF">1999-03-18T15:45:12Z</dcterms:created>
  <dcterms:modified xsi:type="dcterms:W3CDTF">2022-06-01T17:16:14Z</dcterms:modified>
</cp:coreProperties>
</file>